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4816"/>
  <workbookPr showInkAnnotation="0" codeName="ThisWorkbook" autoCompressPictures="0"/>
  <bookViews>
    <workbookView xWindow="0" yWindow="0" windowWidth="25600" windowHeight="16060" tabRatio="814"/>
  </bookViews>
  <sheets>
    <sheet name="Pass-Fail" sheetId="24" r:id="rId1"/>
    <sheet name="Instructions" sheetId="25" r:id="rId2"/>
  </sheets>
  <definedNames>
    <definedName name="_xlnm._FilterDatabase" localSheetId="0" hidden="1">'Pass-Fail'!#REF!</definedName>
    <definedName name="CMYK_2T">'Pass-Fail'!$AG$197:$AO$250</definedName>
    <definedName name="CMYK_3T">'Pass-Fail'!$BP$197:$BX$280</definedName>
    <definedName name="CRPC_1_i1P_2T">'Pass-Fail'!$AQ$197:$AS$250</definedName>
    <definedName name="CRPC_1_i1P_3T">'Pass-Fail'!$BZ$197:$CB$280</definedName>
    <definedName name="CRPC_2_i1P_2T">'Pass-Fail'!$AT$197:$AV$250</definedName>
    <definedName name="CRPC_2_i1P_3T">'Pass-Fail'!$CC$197:$CE$280</definedName>
    <definedName name="CRPC_3_i1P_2T">'Pass-Fail'!$AW$197:$AY$250</definedName>
    <definedName name="CRPC_3_i1P_3T">'Pass-Fail'!$CF$197:$CH$280</definedName>
    <definedName name="CRPC_4_i1P_2T">'Pass-Fail'!$AZ$197:$BB$250</definedName>
    <definedName name="CRPC_4_i1P_3T">'Pass-Fail'!$CI$197:$CK$280</definedName>
    <definedName name="CRPC_5_i1P_2T">'Pass-Fail'!$BC$197:$BE$250</definedName>
    <definedName name="CRPC_5_i1P_3T">'Pass-Fail'!$CL$197:$CN$280</definedName>
    <definedName name="CRPC_6_i1P_2T">'Pass-Fail'!$BI$197:$BK$250</definedName>
    <definedName name="CRPC_6_i1P_3T">'Pass-Fail'!$CR$197:$CT$280</definedName>
    <definedName name="CRPC_7_i1P_2T">'Pass-Fail'!$BL$197:$BN$250</definedName>
    <definedName name="CRPC_7_i1P_3T">'Pass-Fail'!$CU$197:$CW$280</definedName>
    <definedName name="_xlnm.Print_Area" localSheetId="0">'Pass-Fail'!$Q$12:$AE$24</definedName>
    <definedName name="SWOP5_i1P_2T">'Pass-Fail'!$BF$197:$BH$250</definedName>
    <definedName name="SWOP5_i1P_3T">'Pass-Fail'!$CO$197:$CQ$280</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AB16" i="24" l="1"/>
  <c r="BX197" i="24"/>
  <c r="AO197" i="24"/>
  <c r="CI14" i="24"/>
  <c r="BX198" i="24"/>
  <c r="AO198" i="24"/>
  <c r="CI15" i="24"/>
  <c r="BX199" i="24"/>
  <c r="AO199" i="24"/>
  <c r="CI16" i="24"/>
  <c r="BX200" i="24"/>
  <c r="AO200" i="24"/>
  <c r="CI17" i="24"/>
  <c r="AI9" i="24"/>
  <c r="AG105" i="24"/>
  <c r="AO105" i="24"/>
  <c r="AR105" i="24"/>
  <c r="BX201" i="24"/>
  <c r="AO201" i="24"/>
  <c r="CI18" i="24"/>
  <c r="BX202" i="24"/>
  <c r="AO202" i="24"/>
  <c r="CI19" i="24"/>
  <c r="BX203" i="24"/>
  <c r="AO203" i="24"/>
  <c r="CI20" i="24"/>
  <c r="BX204" i="24"/>
  <c r="AO204" i="24"/>
  <c r="CI21" i="24"/>
  <c r="AH105" i="24"/>
  <c r="AM105" i="24"/>
  <c r="AK105" i="24"/>
  <c r="AN105" i="24"/>
  <c r="AQ105" i="24"/>
  <c r="BX205" i="24"/>
  <c r="AO205" i="24"/>
  <c r="CI22" i="24"/>
  <c r="BX206" i="24"/>
  <c r="AO206" i="24"/>
  <c r="CI23" i="24"/>
  <c r="BX207" i="24"/>
  <c r="AO207" i="24"/>
  <c r="CI24" i="24"/>
  <c r="BX208" i="24"/>
  <c r="AO208" i="24"/>
  <c r="CI25" i="24"/>
  <c r="CQ14" i="24"/>
  <c r="CT14" i="24"/>
  <c r="CU14" i="24"/>
  <c r="CV14" i="24"/>
  <c r="CW14" i="24"/>
  <c r="CX14" i="24"/>
  <c r="CY14" i="24"/>
  <c r="CZ14" i="24"/>
  <c r="DA14" i="24"/>
  <c r="DB14" i="24"/>
  <c r="DC14" i="24"/>
  <c r="DD14" i="24"/>
  <c r="DE14" i="24"/>
  <c r="DF14" i="24"/>
  <c r="DG14" i="24"/>
  <c r="DH14" i="24"/>
  <c r="DI14" i="24"/>
  <c r="DJ14" i="24"/>
  <c r="DK14" i="24"/>
  <c r="DL14" i="24"/>
  <c r="AI105" i="24"/>
  <c r="AL105" i="24"/>
  <c r="AP105" i="24"/>
  <c r="AS105" i="24"/>
  <c r="DM14" i="24"/>
  <c r="AG106" i="24"/>
  <c r="AO106" i="24"/>
  <c r="AR106" i="24"/>
  <c r="AH106" i="24"/>
  <c r="AM106" i="24"/>
  <c r="AK106" i="24"/>
  <c r="AN106" i="24"/>
  <c r="AQ106" i="24"/>
  <c r="CQ15" i="24"/>
  <c r="CR15" i="24"/>
  <c r="CS15" i="24"/>
  <c r="CT15" i="24"/>
  <c r="L37" i="24"/>
  <c r="AG15" i="24"/>
  <c r="AM15" i="24"/>
  <c r="AS15" i="24"/>
  <c r="M37" i="24"/>
  <c r="AH15" i="24"/>
  <c r="AN15" i="24"/>
  <c r="AT15" i="24"/>
  <c r="AI106" i="24"/>
  <c r="N37" i="24"/>
  <c r="AI15" i="24"/>
  <c r="AO15" i="24"/>
  <c r="AU15" i="24"/>
  <c r="CP15" i="24"/>
  <c r="CU15" i="24"/>
  <c r="AJ15" i="24"/>
  <c r="AP15" i="24"/>
  <c r="AV15" i="24"/>
  <c r="AW15" i="24"/>
  <c r="CL15" i="24"/>
  <c r="CV15" i="24"/>
  <c r="CW15" i="24"/>
  <c r="CX15" i="24"/>
  <c r="CY15" i="24"/>
  <c r="CZ15" i="24"/>
  <c r="DA15" i="24"/>
  <c r="DB15" i="24"/>
  <c r="DC15" i="24"/>
  <c r="DD15" i="24"/>
  <c r="DE15" i="24"/>
  <c r="DF15" i="24"/>
  <c r="DG15" i="24"/>
  <c r="DH15" i="24"/>
  <c r="DI15" i="24"/>
  <c r="DJ15" i="24"/>
  <c r="DK15" i="24"/>
  <c r="DL15" i="24"/>
  <c r="AL106" i="24"/>
  <c r="AP106" i="24"/>
  <c r="AS106" i="24"/>
  <c r="DM15" i="24"/>
  <c r="AG107" i="24"/>
  <c r="AO107" i="24"/>
  <c r="AR107" i="24"/>
  <c r="AH107" i="24"/>
  <c r="AM107" i="24"/>
  <c r="AK107" i="24"/>
  <c r="AN107" i="24"/>
  <c r="AQ107" i="24"/>
  <c r="CQ16" i="24"/>
  <c r="CR16" i="24"/>
  <c r="CS16" i="24"/>
  <c r="CT16" i="24"/>
  <c r="CU16" i="24"/>
  <c r="CV16" i="24"/>
  <c r="CW16" i="24"/>
  <c r="CX16" i="24"/>
  <c r="CY16" i="24"/>
  <c r="CZ16" i="24"/>
  <c r="DA16" i="24"/>
  <c r="DB16" i="24"/>
  <c r="DC16" i="24"/>
  <c r="DD16" i="24"/>
  <c r="DE16" i="24"/>
  <c r="DF16" i="24"/>
  <c r="DG16" i="24"/>
  <c r="DH16" i="24"/>
  <c r="DI16" i="24"/>
  <c r="DJ16" i="24"/>
  <c r="DK16" i="24"/>
  <c r="DL16" i="24"/>
  <c r="AI107" i="24"/>
  <c r="AL107" i="24"/>
  <c r="AP107" i="24"/>
  <c r="AS107" i="24"/>
  <c r="DM16" i="24"/>
  <c r="AG108" i="24"/>
  <c r="AO108" i="24"/>
  <c r="AR108" i="24"/>
  <c r="AH108" i="24"/>
  <c r="AM108" i="24"/>
  <c r="AK108" i="24"/>
  <c r="AN108" i="24"/>
  <c r="AQ108" i="24"/>
  <c r="CQ17" i="24"/>
  <c r="CR17" i="24"/>
  <c r="CS17" i="24"/>
  <c r="CT17" i="24"/>
  <c r="CU17" i="24"/>
  <c r="CV17" i="24"/>
  <c r="CW17" i="24"/>
  <c r="CX17" i="24"/>
  <c r="CY17" i="24"/>
  <c r="CZ17" i="24"/>
  <c r="DA17" i="24"/>
  <c r="DB17" i="24"/>
  <c r="DC17" i="24"/>
  <c r="DD17" i="24"/>
  <c r="DE17" i="24"/>
  <c r="DF17" i="24"/>
  <c r="DG17" i="24"/>
  <c r="DH17" i="24"/>
  <c r="DI17" i="24"/>
  <c r="DJ17" i="24"/>
  <c r="DK17" i="24"/>
  <c r="DL17" i="24"/>
  <c r="AI108" i="24"/>
  <c r="AL108" i="24"/>
  <c r="AP108" i="24"/>
  <c r="AS108" i="24"/>
  <c r="DM17" i="24"/>
  <c r="AG109" i="24"/>
  <c r="AO109" i="24"/>
  <c r="AR109" i="24"/>
  <c r="AH109" i="24"/>
  <c r="AM109" i="24"/>
  <c r="AK109" i="24"/>
  <c r="AN109" i="24"/>
  <c r="AQ109" i="24"/>
  <c r="CQ18" i="24"/>
  <c r="CR18" i="24"/>
  <c r="CS18" i="24"/>
  <c r="CT18" i="24"/>
  <c r="CW18" i="24"/>
  <c r="CX18" i="24"/>
  <c r="CY18" i="24"/>
  <c r="CZ18" i="24"/>
  <c r="DA18" i="24"/>
  <c r="DB18" i="24"/>
  <c r="DC18" i="24"/>
  <c r="DD18" i="24"/>
  <c r="DE18" i="24"/>
  <c r="DF18" i="24"/>
  <c r="DG18" i="24"/>
  <c r="DH18" i="24"/>
  <c r="DI18" i="24"/>
  <c r="DJ18" i="24"/>
  <c r="DK18" i="24"/>
  <c r="DL18" i="24"/>
  <c r="AI109" i="24"/>
  <c r="AL109" i="24"/>
  <c r="AP109" i="24"/>
  <c r="AS109" i="24"/>
  <c r="DM18" i="24"/>
  <c r="AG110" i="24"/>
  <c r="AO110" i="24"/>
  <c r="AR110" i="24"/>
  <c r="AH110" i="24"/>
  <c r="AM110" i="24"/>
  <c r="AK110" i="24"/>
  <c r="AN110" i="24"/>
  <c r="AQ110" i="24"/>
  <c r="CQ19" i="24"/>
  <c r="CR19" i="24"/>
  <c r="CS19" i="24"/>
  <c r="CT19" i="24"/>
  <c r="L41" i="24"/>
  <c r="AG19" i="24"/>
  <c r="AM19" i="24"/>
  <c r="AS19" i="24"/>
  <c r="M41" i="24"/>
  <c r="AH19" i="24"/>
  <c r="AN19" i="24"/>
  <c r="AT19" i="24"/>
  <c r="AI110" i="24"/>
  <c r="N41" i="24"/>
  <c r="AI19" i="24"/>
  <c r="AO19" i="24"/>
  <c r="AU19" i="24"/>
  <c r="CP19" i="24"/>
  <c r="CU19" i="24"/>
  <c r="AJ19" i="24"/>
  <c r="AP19" i="24"/>
  <c r="AV19" i="24"/>
  <c r="AW19" i="24"/>
  <c r="CL19" i="24"/>
  <c r="CV19" i="24"/>
  <c r="CW19" i="24"/>
  <c r="CX19" i="24"/>
  <c r="CY19" i="24"/>
  <c r="CZ19" i="24"/>
  <c r="DA19" i="24"/>
  <c r="DB19" i="24"/>
  <c r="DC19" i="24"/>
  <c r="DD19" i="24"/>
  <c r="DE19" i="24"/>
  <c r="DF19" i="24"/>
  <c r="DG19" i="24"/>
  <c r="DH19" i="24"/>
  <c r="DI19" i="24"/>
  <c r="DJ19" i="24"/>
  <c r="DK19" i="24"/>
  <c r="DL19" i="24"/>
  <c r="AL110" i="24"/>
  <c r="AP110" i="24"/>
  <c r="AS110" i="24"/>
  <c r="DM19" i="24"/>
  <c r="AG111" i="24"/>
  <c r="AO111" i="24"/>
  <c r="AR111" i="24"/>
  <c r="AH111" i="24"/>
  <c r="AM111" i="24"/>
  <c r="AK111" i="24"/>
  <c r="AN111" i="24"/>
  <c r="AQ111" i="24"/>
  <c r="CQ20" i="24"/>
  <c r="CR20" i="24"/>
  <c r="CS20" i="24"/>
  <c r="CT20" i="24"/>
  <c r="CU20" i="24"/>
  <c r="CV20" i="24"/>
  <c r="CW20" i="24"/>
  <c r="CX20" i="24"/>
  <c r="CY20" i="24"/>
  <c r="CZ20" i="24"/>
  <c r="DA20" i="24"/>
  <c r="DB20" i="24"/>
  <c r="DC20" i="24"/>
  <c r="DD20" i="24"/>
  <c r="DE20" i="24"/>
  <c r="DF20" i="24"/>
  <c r="DG20" i="24"/>
  <c r="DH20" i="24"/>
  <c r="DI20" i="24"/>
  <c r="DJ20" i="24"/>
  <c r="DK20" i="24"/>
  <c r="DL20" i="24"/>
  <c r="AI111" i="24"/>
  <c r="AL111" i="24"/>
  <c r="AP111" i="24"/>
  <c r="AS111" i="24"/>
  <c r="DM20" i="24"/>
  <c r="AG112" i="24"/>
  <c r="AO112" i="24"/>
  <c r="AR112" i="24"/>
  <c r="AH112" i="24"/>
  <c r="AM112" i="24"/>
  <c r="AK112" i="24"/>
  <c r="AN112" i="24"/>
  <c r="AQ112" i="24"/>
  <c r="CQ21" i="24"/>
  <c r="CR21" i="24"/>
  <c r="CS21" i="24"/>
  <c r="CT21" i="24"/>
  <c r="CU21" i="24"/>
  <c r="CV21" i="24"/>
  <c r="CW21" i="24"/>
  <c r="CX21" i="24"/>
  <c r="CY21" i="24"/>
  <c r="CZ21" i="24"/>
  <c r="DA21" i="24"/>
  <c r="DB21" i="24"/>
  <c r="DC21" i="24"/>
  <c r="DD21" i="24"/>
  <c r="DE21" i="24"/>
  <c r="DF21" i="24"/>
  <c r="DG21" i="24"/>
  <c r="DH21" i="24"/>
  <c r="DI21" i="24"/>
  <c r="DJ21" i="24"/>
  <c r="DK21" i="24"/>
  <c r="DL21" i="24"/>
  <c r="AI112" i="24"/>
  <c r="AL112" i="24"/>
  <c r="AP112" i="24"/>
  <c r="AS112" i="24"/>
  <c r="DM21" i="24"/>
  <c r="AG113" i="24"/>
  <c r="AO113" i="24"/>
  <c r="AR113" i="24"/>
  <c r="AH113" i="24"/>
  <c r="AM113" i="24"/>
  <c r="AK113" i="24"/>
  <c r="AN113" i="24"/>
  <c r="AQ113" i="24"/>
  <c r="CQ22" i="24"/>
  <c r="CR22" i="24"/>
  <c r="CS22" i="24"/>
  <c r="CT22" i="24"/>
  <c r="CU22" i="24"/>
  <c r="CV22" i="24"/>
  <c r="CW22" i="24"/>
  <c r="CX22" i="24"/>
  <c r="CY22" i="24"/>
  <c r="CZ22" i="24"/>
  <c r="DA22" i="24"/>
  <c r="DB22" i="24"/>
  <c r="DC22" i="24"/>
  <c r="DD22" i="24"/>
  <c r="DE22" i="24"/>
  <c r="DF22" i="24"/>
  <c r="DG22" i="24"/>
  <c r="DH22" i="24"/>
  <c r="DI22" i="24"/>
  <c r="DJ22" i="24"/>
  <c r="DK22" i="24"/>
  <c r="DL22" i="24"/>
  <c r="AI113" i="24"/>
  <c r="AL113" i="24"/>
  <c r="AP113" i="24"/>
  <c r="AS113" i="24"/>
  <c r="DM22" i="24"/>
  <c r="AG114" i="24"/>
  <c r="AO114" i="24"/>
  <c r="AR114" i="24"/>
  <c r="AH114" i="24"/>
  <c r="AM114" i="24"/>
  <c r="AK114" i="24"/>
  <c r="AN114" i="24"/>
  <c r="AQ114" i="24"/>
  <c r="CQ23" i="24"/>
  <c r="CR23" i="24"/>
  <c r="CS23" i="24"/>
  <c r="CT23" i="24"/>
  <c r="L45" i="24"/>
  <c r="AG23" i="24"/>
  <c r="AM23" i="24"/>
  <c r="AS23" i="24"/>
  <c r="M45" i="24"/>
  <c r="AH23" i="24"/>
  <c r="AN23" i="24"/>
  <c r="AT23" i="24"/>
  <c r="AI114" i="24"/>
  <c r="N45" i="24"/>
  <c r="AI23" i="24"/>
  <c r="AO23" i="24"/>
  <c r="AU23" i="24"/>
  <c r="CP23" i="24"/>
  <c r="CU23" i="24"/>
  <c r="AJ23" i="24"/>
  <c r="AP23" i="24"/>
  <c r="AV23" i="24"/>
  <c r="AW23" i="24"/>
  <c r="CL23" i="24"/>
  <c r="CV23" i="24"/>
  <c r="CW23" i="24"/>
  <c r="CX23" i="24"/>
  <c r="CY23" i="24"/>
  <c r="CZ23" i="24"/>
  <c r="DA23" i="24"/>
  <c r="DB23" i="24"/>
  <c r="DC23" i="24"/>
  <c r="DD23" i="24"/>
  <c r="DE23" i="24"/>
  <c r="DF23" i="24"/>
  <c r="DG23" i="24"/>
  <c r="DH23" i="24"/>
  <c r="DI23" i="24"/>
  <c r="DJ23" i="24"/>
  <c r="DK23" i="24"/>
  <c r="DL23" i="24"/>
  <c r="AL114" i="24"/>
  <c r="AP114" i="24"/>
  <c r="AS114" i="24"/>
  <c r="DM23" i="24"/>
  <c r="AG115" i="24"/>
  <c r="AO115" i="24"/>
  <c r="AR115" i="24"/>
  <c r="AH115" i="24"/>
  <c r="AM115" i="24"/>
  <c r="AK115" i="24"/>
  <c r="AN115" i="24"/>
  <c r="AQ115" i="24"/>
  <c r="CQ24" i="24"/>
  <c r="CR24" i="24"/>
  <c r="CS24" i="24"/>
  <c r="CT24" i="24"/>
  <c r="CU24" i="24"/>
  <c r="CV24" i="24"/>
  <c r="CW24" i="24"/>
  <c r="CX24" i="24"/>
  <c r="CY24" i="24"/>
  <c r="CZ24" i="24"/>
  <c r="DA24" i="24"/>
  <c r="DB24" i="24"/>
  <c r="DC24" i="24"/>
  <c r="DD24" i="24"/>
  <c r="DE24" i="24"/>
  <c r="DF24" i="24"/>
  <c r="DG24" i="24"/>
  <c r="DH24" i="24"/>
  <c r="DI24" i="24"/>
  <c r="DJ24" i="24"/>
  <c r="DK24" i="24"/>
  <c r="DL24" i="24"/>
  <c r="AI115" i="24"/>
  <c r="AL115" i="24"/>
  <c r="AP115" i="24"/>
  <c r="AS115" i="24"/>
  <c r="DM24" i="24"/>
  <c r="AG116" i="24"/>
  <c r="AO116" i="24"/>
  <c r="AR116" i="24"/>
  <c r="AH116" i="24"/>
  <c r="AM116" i="24"/>
  <c r="AK116" i="24"/>
  <c r="AN116" i="24"/>
  <c r="AQ116" i="24"/>
  <c r="CQ25" i="24"/>
  <c r="CR25" i="24"/>
  <c r="CS25" i="24"/>
  <c r="CT25" i="24"/>
  <c r="CU25" i="24"/>
  <c r="CV25" i="24"/>
  <c r="CW25" i="24"/>
  <c r="CX25" i="24"/>
  <c r="CY25" i="24"/>
  <c r="CZ25" i="24"/>
  <c r="DA25" i="24"/>
  <c r="DB25" i="24"/>
  <c r="DC25" i="24"/>
  <c r="DD25" i="24"/>
  <c r="DE25" i="24"/>
  <c r="DF25" i="24"/>
  <c r="DG25" i="24"/>
  <c r="DH25" i="24"/>
  <c r="DI25" i="24"/>
  <c r="DJ25" i="24"/>
  <c r="DK25" i="24"/>
  <c r="DL25" i="24"/>
  <c r="AI116" i="24"/>
  <c r="AL116" i="24"/>
  <c r="AP116" i="24"/>
  <c r="AS116" i="24"/>
  <c r="DM25" i="24"/>
  <c r="BX209" i="24"/>
  <c r="AO209" i="24"/>
  <c r="CI26" i="24"/>
  <c r="AG117" i="24"/>
  <c r="AO117" i="24"/>
  <c r="AR117" i="24"/>
  <c r="AH117" i="24"/>
  <c r="AM117" i="24"/>
  <c r="AK117" i="24"/>
  <c r="AN117" i="24"/>
  <c r="AQ117" i="24"/>
  <c r="CQ26" i="24"/>
  <c r="CR26" i="24"/>
  <c r="CS26" i="24"/>
  <c r="CT26" i="24"/>
  <c r="CU26" i="24"/>
  <c r="CV26" i="24"/>
  <c r="CW26" i="24"/>
  <c r="CX26" i="24"/>
  <c r="CY26" i="24"/>
  <c r="CZ26" i="24"/>
  <c r="DA26" i="24"/>
  <c r="DB26" i="24"/>
  <c r="DC26" i="24"/>
  <c r="DD26" i="24"/>
  <c r="DE26" i="24"/>
  <c r="DF26" i="24"/>
  <c r="DG26" i="24"/>
  <c r="DH26" i="24"/>
  <c r="DI26" i="24"/>
  <c r="DJ26" i="24"/>
  <c r="DK26" i="24"/>
  <c r="DL26" i="24"/>
  <c r="AI117" i="24"/>
  <c r="AL117" i="24"/>
  <c r="AP117" i="24"/>
  <c r="AS117" i="24"/>
  <c r="DM26" i="24"/>
  <c r="BX210" i="24"/>
  <c r="AO210" i="24"/>
  <c r="CI27" i="24"/>
  <c r="AG118" i="24"/>
  <c r="AO118" i="24"/>
  <c r="AR118" i="24"/>
  <c r="AH118" i="24"/>
  <c r="AM118" i="24"/>
  <c r="AK118" i="24"/>
  <c r="AN118" i="24"/>
  <c r="AQ118" i="24"/>
  <c r="CQ27" i="24"/>
  <c r="CR27" i="24"/>
  <c r="CS27" i="24"/>
  <c r="CT27" i="24"/>
  <c r="CU27" i="24"/>
  <c r="CV27" i="24"/>
  <c r="CW27" i="24"/>
  <c r="CX27" i="24"/>
  <c r="CY27" i="24"/>
  <c r="CZ27" i="24"/>
  <c r="DA27" i="24"/>
  <c r="DB27" i="24"/>
  <c r="DC27" i="24"/>
  <c r="DD27" i="24"/>
  <c r="DE27" i="24"/>
  <c r="DF27" i="24"/>
  <c r="DG27" i="24"/>
  <c r="DH27" i="24"/>
  <c r="DI27" i="24"/>
  <c r="DJ27" i="24"/>
  <c r="DK27" i="24"/>
  <c r="DL27" i="24"/>
  <c r="AI118" i="24"/>
  <c r="AL118" i="24"/>
  <c r="AP118" i="24"/>
  <c r="AS118" i="24"/>
  <c r="DM27" i="24"/>
  <c r="BX211" i="24"/>
  <c r="AO211" i="24"/>
  <c r="CI28" i="24"/>
  <c r="AG119" i="24"/>
  <c r="AO119" i="24"/>
  <c r="AR119" i="24"/>
  <c r="AH119" i="24"/>
  <c r="AM119" i="24"/>
  <c r="AK119" i="24"/>
  <c r="AN119" i="24"/>
  <c r="AQ119" i="24"/>
  <c r="CQ28" i="24"/>
  <c r="CR28" i="24"/>
  <c r="CS28" i="24"/>
  <c r="CT28" i="24"/>
  <c r="CU28" i="24"/>
  <c r="CV28" i="24"/>
  <c r="CW28" i="24"/>
  <c r="CX28" i="24"/>
  <c r="CY28" i="24"/>
  <c r="CZ28" i="24"/>
  <c r="DA28" i="24"/>
  <c r="DB28" i="24"/>
  <c r="DC28" i="24"/>
  <c r="DD28" i="24"/>
  <c r="DE28" i="24"/>
  <c r="DF28" i="24"/>
  <c r="DG28" i="24"/>
  <c r="DH28" i="24"/>
  <c r="DI28" i="24"/>
  <c r="DJ28" i="24"/>
  <c r="DK28" i="24"/>
  <c r="DL28" i="24"/>
  <c r="AI119" i="24"/>
  <c r="AL119" i="24"/>
  <c r="AP119" i="24"/>
  <c r="AS119" i="24"/>
  <c r="DM28" i="24"/>
  <c r="BX212" i="24"/>
  <c r="AO212" i="24"/>
  <c r="CI29" i="24"/>
  <c r="AG120" i="24"/>
  <c r="AO120" i="24"/>
  <c r="AR120" i="24"/>
  <c r="AH120" i="24"/>
  <c r="AM120" i="24"/>
  <c r="AK120" i="24"/>
  <c r="AN120" i="24"/>
  <c r="AQ120" i="24"/>
  <c r="CQ29" i="24"/>
  <c r="CT29" i="24"/>
  <c r="CU29" i="24"/>
  <c r="CV29" i="24"/>
  <c r="CW29" i="24"/>
  <c r="CX29" i="24"/>
  <c r="CY29" i="24"/>
  <c r="CZ29" i="24"/>
  <c r="DA29" i="24"/>
  <c r="DB29" i="24"/>
  <c r="DC29" i="24"/>
  <c r="DD29" i="24"/>
  <c r="DE29" i="24"/>
  <c r="DF29" i="24"/>
  <c r="DG29" i="24"/>
  <c r="DH29" i="24"/>
  <c r="DI29" i="24"/>
  <c r="DJ29" i="24"/>
  <c r="DK29" i="24"/>
  <c r="DL29" i="24"/>
  <c r="AI120" i="24"/>
  <c r="AL120" i="24"/>
  <c r="AP120" i="24"/>
  <c r="AS120" i="24"/>
  <c r="DM29" i="24"/>
  <c r="BX213" i="24"/>
  <c r="AO213" i="24"/>
  <c r="CI30" i="24"/>
  <c r="AG121" i="24"/>
  <c r="AO121" i="24"/>
  <c r="AR121" i="24"/>
  <c r="AH121" i="24"/>
  <c r="AM121" i="24"/>
  <c r="AK121" i="24"/>
  <c r="AN121" i="24"/>
  <c r="AQ121" i="24"/>
  <c r="CQ30" i="24"/>
  <c r="CR30" i="24"/>
  <c r="CS30" i="24"/>
  <c r="CT30" i="24"/>
  <c r="CU30" i="24"/>
  <c r="CV30" i="24"/>
  <c r="CW30" i="24"/>
  <c r="CX30" i="24"/>
  <c r="CY30" i="24"/>
  <c r="CZ30" i="24"/>
  <c r="DA30" i="24"/>
  <c r="DB30" i="24"/>
  <c r="DC30" i="24"/>
  <c r="DD30" i="24"/>
  <c r="DE30" i="24"/>
  <c r="DF30" i="24"/>
  <c r="DG30" i="24"/>
  <c r="DH30" i="24"/>
  <c r="DI30" i="24"/>
  <c r="DJ30" i="24"/>
  <c r="DK30" i="24"/>
  <c r="DL30" i="24"/>
  <c r="AI121" i="24"/>
  <c r="AL121" i="24"/>
  <c r="AP121" i="24"/>
  <c r="AS121" i="24"/>
  <c r="DM30" i="24"/>
  <c r="BX214" i="24"/>
  <c r="AO214" i="24"/>
  <c r="CI31" i="24"/>
  <c r="AG122" i="24"/>
  <c r="AO122" i="24"/>
  <c r="AR122" i="24"/>
  <c r="AH122" i="24"/>
  <c r="AM122" i="24"/>
  <c r="AK122" i="24"/>
  <c r="AN122" i="24"/>
  <c r="AQ122" i="24"/>
  <c r="CQ31" i="24"/>
  <c r="CR31" i="24"/>
  <c r="CS31" i="24"/>
  <c r="CT31" i="24"/>
  <c r="CU31" i="24"/>
  <c r="CV31" i="24"/>
  <c r="CW31" i="24"/>
  <c r="CX31" i="24"/>
  <c r="CY31" i="24"/>
  <c r="CZ31" i="24"/>
  <c r="DA31" i="24"/>
  <c r="DB31" i="24"/>
  <c r="DC31" i="24"/>
  <c r="DD31" i="24"/>
  <c r="DE31" i="24"/>
  <c r="DF31" i="24"/>
  <c r="DG31" i="24"/>
  <c r="DH31" i="24"/>
  <c r="DI31" i="24"/>
  <c r="DJ31" i="24"/>
  <c r="DK31" i="24"/>
  <c r="DL31" i="24"/>
  <c r="AI122" i="24"/>
  <c r="AL122" i="24"/>
  <c r="AP122" i="24"/>
  <c r="AS122" i="24"/>
  <c r="DM31" i="24"/>
  <c r="BX215" i="24"/>
  <c r="AO215" i="24"/>
  <c r="CI32" i="24"/>
  <c r="AG123" i="24"/>
  <c r="AO123" i="24"/>
  <c r="AR123" i="24"/>
  <c r="AH123" i="24"/>
  <c r="AM123" i="24"/>
  <c r="AK123" i="24"/>
  <c r="AN123" i="24"/>
  <c r="AQ123" i="24"/>
  <c r="CQ32" i="24"/>
  <c r="CR32" i="24"/>
  <c r="CS32" i="24"/>
  <c r="CT32" i="24"/>
  <c r="CU32" i="24"/>
  <c r="CV32" i="24"/>
  <c r="CW32" i="24"/>
  <c r="CX32" i="24"/>
  <c r="CY32" i="24"/>
  <c r="CZ32" i="24"/>
  <c r="DA32" i="24"/>
  <c r="DB32" i="24"/>
  <c r="DC32" i="24"/>
  <c r="DD32" i="24"/>
  <c r="DE32" i="24"/>
  <c r="DF32" i="24"/>
  <c r="DG32" i="24"/>
  <c r="DH32" i="24"/>
  <c r="DI32" i="24"/>
  <c r="DJ32" i="24"/>
  <c r="DK32" i="24"/>
  <c r="DL32" i="24"/>
  <c r="AI123" i="24"/>
  <c r="AL123" i="24"/>
  <c r="AP123" i="24"/>
  <c r="AS123" i="24"/>
  <c r="DM32" i="24"/>
  <c r="BX216" i="24"/>
  <c r="AO216" i="24"/>
  <c r="CI33" i="24"/>
  <c r="AG124" i="24"/>
  <c r="AO124" i="24"/>
  <c r="AR124" i="24"/>
  <c r="AH124" i="24"/>
  <c r="AM124" i="24"/>
  <c r="AK124" i="24"/>
  <c r="AN124" i="24"/>
  <c r="AQ124" i="24"/>
  <c r="CQ33" i="24"/>
  <c r="CR33" i="24"/>
  <c r="CS33" i="24"/>
  <c r="CT33" i="24"/>
  <c r="CW33" i="24"/>
  <c r="CX33" i="24"/>
  <c r="CY33" i="24"/>
  <c r="CZ33" i="24"/>
  <c r="DA33" i="24"/>
  <c r="DB33" i="24"/>
  <c r="DC33" i="24"/>
  <c r="DD33" i="24"/>
  <c r="DE33" i="24"/>
  <c r="DF33" i="24"/>
  <c r="DG33" i="24"/>
  <c r="DH33" i="24"/>
  <c r="DI33" i="24"/>
  <c r="DJ33" i="24"/>
  <c r="DK33" i="24"/>
  <c r="DL33" i="24"/>
  <c r="AI124" i="24"/>
  <c r="AL124" i="24"/>
  <c r="AP124" i="24"/>
  <c r="AS124" i="24"/>
  <c r="DM33" i="24"/>
  <c r="BX217" i="24"/>
  <c r="AO217" i="24"/>
  <c r="CI34" i="24"/>
  <c r="AG125" i="24"/>
  <c r="AO125" i="24"/>
  <c r="AR125" i="24"/>
  <c r="AH125" i="24"/>
  <c r="AM125" i="24"/>
  <c r="AK125" i="24"/>
  <c r="AN125" i="24"/>
  <c r="AQ125" i="24"/>
  <c r="CQ34" i="24"/>
  <c r="CR34" i="24"/>
  <c r="CS34" i="24"/>
  <c r="CT34" i="24"/>
  <c r="CU34" i="24"/>
  <c r="CV34" i="24"/>
  <c r="CW34" i="24"/>
  <c r="L56" i="24"/>
  <c r="AG34" i="24"/>
  <c r="AM34" i="24"/>
  <c r="AS34" i="24"/>
  <c r="M56" i="24"/>
  <c r="AH34" i="24"/>
  <c r="AN34" i="24"/>
  <c r="AT34" i="24"/>
  <c r="AI125" i="24"/>
  <c r="N56" i="24"/>
  <c r="AI34" i="24"/>
  <c r="AO34" i="24"/>
  <c r="AU34" i="24"/>
  <c r="CP34" i="24"/>
  <c r="CX34" i="24"/>
  <c r="DG34" i="24"/>
  <c r="CY34" i="24"/>
  <c r="AJ34" i="24"/>
  <c r="AP34" i="24"/>
  <c r="AV34" i="24"/>
  <c r="AW34" i="24"/>
  <c r="CL34" i="24"/>
  <c r="CZ34" i="24"/>
  <c r="DA34" i="24"/>
  <c r="DB34" i="24"/>
  <c r="CJ34" i="24"/>
  <c r="DC34" i="24"/>
  <c r="AX34" i="24"/>
  <c r="DD34" i="24"/>
  <c r="DE34" i="24"/>
  <c r="DF34" i="24"/>
  <c r="DH34" i="24"/>
  <c r="DI34" i="24"/>
  <c r="DJ34" i="24"/>
  <c r="DK34" i="24"/>
  <c r="DL34" i="24"/>
  <c r="AL125" i="24"/>
  <c r="AP125" i="24"/>
  <c r="AS125" i="24"/>
  <c r="DM34" i="24"/>
  <c r="BX218" i="24"/>
  <c r="AO218" i="24"/>
  <c r="CI35" i="24"/>
  <c r="AG126" i="24"/>
  <c r="AO126" i="24"/>
  <c r="AR126" i="24"/>
  <c r="AH126" i="24"/>
  <c r="AM126" i="24"/>
  <c r="AK126" i="24"/>
  <c r="AN126" i="24"/>
  <c r="AQ126" i="24"/>
  <c r="CQ35" i="24"/>
  <c r="CR35" i="24"/>
  <c r="CS35" i="24"/>
  <c r="CT35" i="24"/>
  <c r="CU35" i="24"/>
  <c r="CV35" i="24"/>
  <c r="CW35" i="24"/>
  <c r="L57" i="24"/>
  <c r="AG35" i="24"/>
  <c r="AM35" i="24"/>
  <c r="AS35" i="24"/>
  <c r="M57" i="24"/>
  <c r="AH35" i="24"/>
  <c r="AN35" i="24"/>
  <c r="AT35" i="24"/>
  <c r="AI126" i="24"/>
  <c r="N57" i="24"/>
  <c r="AI35" i="24"/>
  <c r="AO35" i="24"/>
  <c r="AU35" i="24"/>
  <c r="CP35" i="24"/>
  <c r="CX35" i="24"/>
  <c r="DG35" i="24"/>
  <c r="CY35" i="24"/>
  <c r="AJ35" i="24"/>
  <c r="AP35" i="24"/>
  <c r="AV35" i="24"/>
  <c r="AW35" i="24"/>
  <c r="CL35" i="24"/>
  <c r="CZ35" i="24"/>
  <c r="DA35" i="24"/>
  <c r="DB35" i="24"/>
  <c r="CJ35" i="24"/>
  <c r="DC35" i="24"/>
  <c r="AX35" i="24"/>
  <c r="DD35" i="24"/>
  <c r="DE35" i="24"/>
  <c r="DF35" i="24"/>
  <c r="DH35" i="24"/>
  <c r="DI35" i="24"/>
  <c r="DJ35" i="24"/>
  <c r="DK35" i="24"/>
  <c r="DL35" i="24"/>
  <c r="AL126" i="24"/>
  <c r="AP126" i="24"/>
  <c r="AS126" i="24"/>
  <c r="DM35" i="24"/>
  <c r="BX219" i="24"/>
  <c r="AO219" i="24"/>
  <c r="CI36" i="24"/>
  <c r="AG127" i="24"/>
  <c r="AO127" i="24"/>
  <c r="AR127" i="24"/>
  <c r="AH127" i="24"/>
  <c r="AM127" i="24"/>
  <c r="AK127" i="24"/>
  <c r="AN127" i="24"/>
  <c r="AQ127" i="24"/>
  <c r="CQ36" i="24"/>
  <c r="CR36" i="24"/>
  <c r="CS36" i="24"/>
  <c r="CT36" i="24"/>
  <c r="CU36" i="24"/>
  <c r="CV36" i="24"/>
  <c r="CW36" i="24"/>
  <c r="L58" i="24"/>
  <c r="AG36" i="24"/>
  <c r="AM36" i="24"/>
  <c r="AS36" i="24"/>
  <c r="M58" i="24"/>
  <c r="AH36" i="24"/>
  <c r="AN36" i="24"/>
  <c r="AT36" i="24"/>
  <c r="AI127" i="24"/>
  <c r="N58" i="24"/>
  <c r="AI36" i="24"/>
  <c r="AO36" i="24"/>
  <c r="AU36" i="24"/>
  <c r="CP36" i="24"/>
  <c r="CX36" i="24"/>
  <c r="DG36" i="24"/>
  <c r="CY36" i="24"/>
  <c r="AJ36" i="24"/>
  <c r="AP36" i="24"/>
  <c r="AV36" i="24"/>
  <c r="AW36" i="24"/>
  <c r="CL36" i="24"/>
  <c r="CZ36" i="24"/>
  <c r="DA36" i="24"/>
  <c r="DB36" i="24"/>
  <c r="CJ36" i="24"/>
  <c r="DC36" i="24"/>
  <c r="AX36" i="24"/>
  <c r="DD36" i="24"/>
  <c r="DE36" i="24"/>
  <c r="DF36" i="24"/>
  <c r="DH36" i="24"/>
  <c r="DI36" i="24"/>
  <c r="DJ36" i="24"/>
  <c r="DK36" i="24"/>
  <c r="DL36" i="24"/>
  <c r="AL127" i="24"/>
  <c r="AP127" i="24"/>
  <c r="AS127" i="24"/>
  <c r="DM36" i="24"/>
  <c r="BX220" i="24"/>
  <c r="AO220" i="24"/>
  <c r="CI37" i="24"/>
  <c r="AG128" i="24"/>
  <c r="AO128" i="24"/>
  <c r="AR128" i="24"/>
  <c r="AH128" i="24"/>
  <c r="AM128" i="24"/>
  <c r="AK128" i="24"/>
  <c r="AN128" i="24"/>
  <c r="AQ128" i="24"/>
  <c r="CQ37" i="24"/>
  <c r="CR37" i="24"/>
  <c r="CS37" i="24"/>
  <c r="CT37" i="24"/>
  <c r="CU37" i="24"/>
  <c r="CV37" i="24"/>
  <c r="CW37" i="24"/>
  <c r="L59" i="24"/>
  <c r="AG37" i="24"/>
  <c r="AM37" i="24"/>
  <c r="AS37" i="24"/>
  <c r="M59" i="24"/>
  <c r="AH37" i="24"/>
  <c r="AN37" i="24"/>
  <c r="AT37" i="24"/>
  <c r="AI128" i="24"/>
  <c r="N59" i="24"/>
  <c r="AI37" i="24"/>
  <c r="AO37" i="24"/>
  <c r="AU37" i="24"/>
  <c r="CP37" i="24"/>
  <c r="CX37" i="24"/>
  <c r="DG37" i="24"/>
  <c r="CY37" i="24"/>
  <c r="AJ37" i="24"/>
  <c r="AP37" i="24"/>
  <c r="AV37" i="24"/>
  <c r="AW37" i="24"/>
  <c r="CL37" i="24"/>
  <c r="CZ37" i="24"/>
  <c r="DA37" i="24"/>
  <c r="DB37" i="24"/>
  <c r="CJ37" i="24"/>
  <c r="DC37" i="24"/>
  <c r="AX37" i="24"/>
  <c r="DD37" i="24"/>
  <c r="DE37" i="24"/>
  <c r="DF37" i="24"/>
  <c r="DH37" i="24"/>
  <c r="DI37" i="24"/>
  <c r="DJ37" i="24"/>
  <c r="DK37" i="24"/>
  <c r="DL37" i="24"/>
  <c r="AL128" i="24"/>
  <c r="AP128" i="24"/>
  <c r="AS128" i="24"/>
  <c r="DM37" i="24"/>
  <c r="BX221" i="24"/>
  <c r="AO221" i="24"/>
  <c r="CI38" i="24"/>
  <c r="AG129" i="24"/>
  <c r="AO129" i="24"/>
  <c r="AR129" i="24"/>
  <c r="AH129" i="24"/>
  <c r="AM129" i="24"/>
  <c r="AK129" i="24"/>
  <c r="AN129" i="24"/>
  <c r="AQ129" i="24"/>
  <c r="CQ38" i="24"/>
  <c r="CR38" i="24"/>
  <c r="CS38" i="24"/>
  <c r="CT38" i="24"/>
  <c r="CU38" i="24"/>
  <c r="CV38" i="24"/>
  <c r="CW38" i="24"/>
  <c r="L60" i="24"/>
  <c r="AG38" i="24"/>
  <c r="AM38" i="24"/>
  <c r="AS38" i="24"/>
  <c r="M60" i="24"/>
  <c r="AH38" i="24"/>
  <c r="AN38" i="24"/>
  <c r="AT38" i="24"/>
  <c r="AI129" i="24"/>
  <c r="N60" i="24"/>
  <c r="AI38" i="24"/>
  <c r="AO38" i="24"/>
  <c r="AU38" i="24"/>
  <c r="CP38" i="24"/>
  <c r="CX38" i="24"/>
  <c r="DG38" i="24"/>
  <c r="CY38" i="24"/>
  <c r="AJ38" i="24"/>
  <c r="AP38" i="24"/>
  <c r="AV38" i="24"/>
  <c r="AW38" i="24"/>
  <c r="CL38" i="24"/>
  <c r="CZ38" i="24"/>
  <c r="DA38" i="24"/>
  <c r="DB38" i="24"/>
  <c r="CJ38" i="24"/>
  <c r="DC38" i="24"/>
  <c r="AX38" i="24"/>
  <c r="DD38" i="24"/>
  <c r="DE38" i="24"/>
  <c r="DF38" i="24"/>
  <c r="DH38" i="24"/>
  <c r="DI38" i="24"/>
  <c r="DJ38" i="24"/>
  <c r="DK38" i="24"/>
  <c r="DL38" i="24"/>
  <c r="AL129" i="24"/>
  <c r="AP129" i="24"/>
  <c r="AS129" i="24"/>
  <c r="DM38" i="24"/>
  <c r="BX222" i="24"/>
  <c r="AO222" i="24"/>
  <c r="CI39" i="24"/>
  <c r="AG130" i="24"/>
  <c r="AO130" i="24"/>
  <c r="AR130" i="24"/>
  <c r="AH130" i="24"/>
  <c r="AM130" i="24"/>
  <c r="AK130" i="24"/>
  <c r="AN130" i="24"/>
  <c r="AQ130" i="24"/>
  <c r="CQ39" i="24"/>
  <c r="CR39" i="24"/>
  <c r="CS39" i="24"/>
  <c r="CT39" i="24"/>
  <c r="CU39" i="24"/>
  <c r="CV39" i="24"/>
  <c r="CW39" i="24"/>
  <c r="CX39" i="24"/>
  <c r="CY39" i="24"/>
  <c r="CZ39" i="24"/>
  <c r="DA39" i="24"/>
  <c r="DB39" i="24"/>
  <c r="DC39" i="24"/>
  <c r="DD39" i="24"/>
  <c r="DE39" i="24"/>
  <c r="DF39" i="24"/>
  <c r="DG39" i="24"/>
  <c r="DH39" i="24"/>
  <c r="DI39" i="24"/>
  <c r="DJ39" i="24"/>
  <c r="DK39" i="24"/>
  <c r="DL39" i="24"/>
  <c r="AI130" i="24"/>
  <c r="AL130" i="24"/>
  <c r="AP130" i="24"/>
  <c r="AS130" i="24"/>
  <c r="DM39" i="24"/>
  <c r="BX223" i="24"/>
  <c r="AO223" i="24"/>
  <c r="CI40" i="24"/>
  <c r="AG131" i="24"/>
  <c r="AO131" i="24"/>
  <c r="AR131" i="24"/>
  <c r="AH131" i="24"/>
  <c r="AM131" i="24"/>
  <c r="AK131" i="24"/>
  <c r="AN131" i="24"/>
  <c r="AQ131" i="24"/>
  <c r="CQ40" i="24"/>
  <c r="CR40" i="24"/>
  <c r="CS40" i="24"/>
  <c r="CT40" i="24"/>
  <c r="CU40" i="24"/>
  <c r="CV40" i="24"/>
  <c r="CW40" i="24"/>
  <c r="CX40" i="24"/>
  <c r="CY40" i="24"/>
  <c r="CZ40" i="24"/>
  <c r="DA40" i="24"/>
  <c r="DB40" i="24"/>
  <c r="DC40" i="24"/>
  <c r="DD40" i="24"/>
  <c r="DE40" i="24"/>
  <c r="DF40" i="24"/>
  <c r="DG40" i="24"/>
  <c r="DH40" i="24"/>
  <c r="DI40" i="24"/>
  <c r="DJ40" i="24"/>
  <c r="DK40" i="24"/>
  <c r="DL40" i="24"/>
  <c r="AI131" i="24"/>
  <c r="AL131" i="24"/>
  <c r="AP131" i="24"/>
  <c r="AS131" i="24"/>
  <c r="DM40" i="24"/>
  <c r="BX224" i="24"/>
  <c r="AO224" i="24"/>
  <c r="CI41" i="24"/>
  <c r="AG132" i="24"/>
  <c r="AO132" i="24"/>
  <c r="AR132" i="24"/>
  <c r="AH132" i="24"/>
  <c r="AM132" i="24"/>
  <c r="AK132" i="24"/>
  <c r="AN132" i="24"/>
  <c r="AQ132" i="24"/>
  <c r="CQ41" i="24"/>
  <c r="CR41" i="24"/>
  <c r="CS41" i="24"/>
  <c r="CT41" i="24"/>
  <c r="CU41" i="24"/>
  <c r="CV41" i="24"/>
  <c r="CW41" i="24"/>
  <c r="CX41" i="24"/>
  <c r="CY41" i="24"/>
  <c r="CZ41" i="24"/>
  <c r="DA41" i="24"/>
  <c r="DB41" i="24"/>
  <c r="DC41" i="24"/>
  <c r="DD41" i="24"/>
  <c r="DE41" i="24"/>
  <c r="DF41" i="24"/>
  <c r="DG41" i="24"/>
  <c r="DH41" i="24"/>
  <c r="DI41" i="24"/>
  <c r="DJ41" i="24"/>
  <c r="DK41" i="24"/>
  <c r="DL41" i="24"/>
  <c r="AI132" i="24"/>
  <c r="AL132" i="24"/>
  <c r="AP132" i="24"/>
  <c r="AS132" i="24"/>
  <c r="DM41" i="24"/>
  <c r="BX225" i="24"/>
  <c r="AO225" i="24"/>
  <c r="CI42" i="24"/>
  <c r="AG133" i="24"/>
  <c r="AO133" i="24"/>
  <c r="AR133" i="24"/>
  <c r="AH133" i="24"/>
  <c r="AM133" i="24"/>
  <c r="AK133" i="24"/>
  <c r="AN133" i="24"/>
  <c r="AQ133" i="24"/>
  <c r="CQ42" i="24"/>
  <c r="L64" i="24"/>
  <c r="AG42" i="24"/>
  <c r="AM42" i="24"/>
  <c r="AS42" i="24"/>
  <c r="M64" i="24"/>
  <c r="AH42" i="24"/>
  <c r="AN42" i="24"/>
  <c r="AT42" i="24"/>
  <c r="AI133" i="24"/>
  <c r="N64" i="24"/>
  <c r="AI42" i="24"/>
  <c r="AO42" i="24"/>
  <c r="AU42" i="24"/>
  <c r="CP42" i="24"/>
  <c r="CR42" i="24"/>
  <c r="AJ42" i="24"/>
  <c r="AP42" i="24"/>
  <c r="AV42" i="24"/>
  <c r="AW42" i="24"/>
  <c r="CL42" i="24"/>
  <c r="CS42" i="24"/>
  <c r="CT42" i="24"/>
  <c r="CU42" i="24"/>
  <c r="CV42" i="24"/>
  <c r="CW42" i="24"/>
  <c r="CX42" i="24"/>
  <c r="CY42" i="24"/>
  <c r="CZ42" i="24"/>
  <c r="DA42" i="24"/>
  <c r="DB42" i="24"/>
  <c r="DC42" i="24"/>
  <c r="DD42" i="24"/>
  <c r="DE42" i="24"/>
  <c r="DF42" i="24"/>
  <c r="DG42" i="24"/>
  <c r="DH42" i="24"/>
  <c r="DI42" i="24"/>
  <c r="DJ42" i="24"/>
  <c r="DK42" i="24"/>
  <c r="DL42" i="24"/>
  <c r="AL133" i="24"/>
  <c r="AP133" i="24"/>
  <c r="AS133" i="24"/>
  <c r="DM42" i="24"/>
  <c r="BX226" i="24"/>
  <c r="AO226" i="24"/>
  <c r="CI43" i="24"/>
  <c r="AG134" i="24"/>
  <c r="AO134" i="24"/>
  <c r="AR134" i="24"/>
  <c r="AH134" i="24"/>
  <c r="AM134" i="24"/>
  <c r="AK134" i="24"/>
  <c r="AN134" i="24"/>
  <c r="AQ134" i="24"/>
  <c r="CQ43" i="24"/>
  <c r="CR43" i="24"/>
  <c r="CS43" i="24"/>
  <c r="CT43" i="24"/>
  <c r="CU43" i="24"/>
  <c r="CV43" i="24"/>
  <c r="CW43" i="24"/>
  <c r="CX43" i="24"/>
  <c r="CY43" i="24"/>
  <c r="CZ43" i="24"/>
  <c r="DA43" i="24"/>
  <c r="DB43" i="24"/>
  <c r="DC43" i="24"/>
  <c r="DD43" i="24"/>
  <c r="DE43" i="24"/>
  <c r="DF43" i="24"/>
  <c r="DG43" i="24"/>
  <c r="DH43" i="24"/>
  <c r="DI43" i="24"/>
  <c r="DJ43" i="24"/>
  <c r="DK43" i="24"/>
  <c r="DL43" i="24"/>
  <c r="AI134" i="24"/>
  <c r="AL134" i="24"/>
  <c r="AP134" i="24"/>
  <c r="AS134" i="24"/>
  <c r="DM43" i="24"/>
  <c r="BX227" i="24"/>
  <c r="AO227" i="24"/>
  <c r="CI44" i="24"/>
  <c r="AG135" i="24"/>
  <c r="AO135" i="24"/>
  <c r="AR135" i="24"/>
  <c r="AH135" i="24"/>
  <c r="AM135" i="24"/>
  <c r="AK135" i="24"/>
  <c r="AN135" i="24"/>
  <c r="AQ135" i="24"/>
  <c r="CQ44" i="24"/>
  <c r="CT44" i="24"/>
  <c r="CU44" i="24"/>
  <c r="CV44" i="24"/>
  <c r="CW44" i="24"/>
  <c r="CX44" i="24"/>
  <c r="CY44" i="24"/>
  <c r="CZ44" i="24"/>
  <c r="DA44" i="24"/>
  <c r="DB44" i="24"/>
  <c r="DC44" i="24"/>
  <c r="DD44" i="24"/>
  <c r="DE44" i="24"/>
  <c r="DF44" i="24"/>
  <c r="DG44" i="24"/>
  <c r="DH44" i="24"/>
  <c r="DI44" i="24"/>
  <c r="DJ44" i="24"/>
  <c r="DK44" i="24"/>
  <c r="DL44" i="24"/>
  <c r="AI135" i="24"/>
  <c r="AL135" i="24"/>
  <c r="AP135" i="24"/>
  <c r="AS135" i="24"/>
  <c r="DM44" i="24"/>
  <c r="BX228" i="24"/>
  <c r="AO228" i="24"/>
  <c r="CI45" i="24"/>
  <c r="AG136" i="24"/>
  <c r="AO136" i="24"/>
  <c r="AR136" i="24"/>
  <c r="AH136" i="24"/>
  <c r="AM136" i="24"/>
  <c r="AK136" i="24"/>
  <c r="AN136" i="24"/>
  <c r="AQ136" i="24"/>
  <c r="CQ45" i="24"/>
  <c r="CR45" i="24"/>
  <c r="CS45" i="24"/>
  <c r="CT45" i="24"/>
  <c r="CU45" i="24"/>
  <c r="CV45" i="24"/>
  <c r="CW45" i="24"/>
  <c r="CX45" i="24"/>
  <c r="CY45" i="24"/>
  <c r="CZ45" i="24"/>
  <c r="DA45" i="24"/>
  <c r="DB45" i="24"/>
  <c r="DC45" i="24"/>
  <c r="DD45" i="24"/>
  <c r="DE45" i="24"/>
  <c r="DF45" i="24"/>
  <c r="DG45" i="24"/>
  <c r="DH45" i="24"/>
  <c r="DI45" i="24"/>
  <c r="DJ45" i="24"/>
  <c r="DK45" i="24"/>
  <c r="DL45" i="24"/>
  <c r="AI136" i="24"/>
  <c r="AL136" i="24"/>
  <c r="AP136" i="24"/>
  <c r="AS136" i="24"/>
  <c r="DM45" i="24"/>
  <c r="BX229" i="24"/>
  <c r="AO229" i="24"/>
  <c r="CI46" i="24"/>
  <c r="AG137" i="24"/>
  <c r="AO137" i="24"/>
  <c r="AR137" i="24"/>
  <c r="AH137" i="24"/>
  <c r="AM137" i="24"/>
  <c r="AK137" i="24"/>
  <c r="AN137" i="24"/>
  <c r="AQ137" i="24"/>
  <c r="CQ46" i="24"/>
  <c r="L68" i="24"/>
  <c r="AG46" i="24"/>
  <c r="AM46" i="24"/>
  <c r="AS46" i="24"/>
  <c r="M68" i="24"/>
  <c r="AH46" i="24"/>
  <c r="AN46" i="24"/>
  <c r="AT46" i="24"/>
  <c r="AI137" i="24"/>
  <c r="N68" i="24"/>
  <c r="AI46" i="24"/>
  <c r="AO46" i="24"/>
  <c r="AU46" i="24"/>
  <c r="CP46" i="24"/>
  <c r="CR46" i="24"/>
  <c r="AJ46" i="24"/>
  <c r="AP46" i="24"/>
  <c r="AV46" i="24"/>
  <c r="AW46" i="24"/>
  <c r="CL46" i="24"/>
  <c r="CS46" i="24"/>
  <c r="CT46" i="24"/>
  <c r="CU46" i="24"/>
  <c r="CV46" i="24"/>
  <c r="CW46" i="24"/>
  <c r="CX46" i="24"/>
  <c r="CY46" i="24"/>
  <c r="CZ46" i="24"/>
  <c r="DA46" i="24"/>
  <c r="DB46" i="24"/>
  <c r="DC46" i="24"/>
  <c r="DD46" i="24"/>
  <c r="DE46" i="24"/>
  <c r="DF46" i="24"/>
  <c r="DG46" i="24"/>
  <c r="DH46" i="24"/>
  <c r="DI46" i="24"/>
  <c r="DJ46" i="24"/>
  <c r="DK46" i="24"/>
  <c r="DL46" i="24"/>
  <c r="AL137" i="24"/>
  <c r="AP137" i="24"/>
  <c r="AS137" i="24"/>
  <c r="DM46" i="24"/>
  <c r="BX230" i="24"/>
  <c r="AO230" i="24"/>
  <c r="CI47" i="24"/>
  <c r="AG138" i="24"/>
  <c r="AO138" i="24"/>
  <c r="AR138" i="24"/>
  <c r="AH138" i="24"/>
  <c r="AM138" i="24"/>
  <c r="AK138" i="24"/>
  <c r="AN138" i="24"/>
  <c r="AQ138" i="24"/>
  <c r="CQ47" i="24"/>
  <c r="CR47" i="24"/>
  <c r="CS47" i="24"/>
  <c r="CT47" i="24"/>
  <c r="CU47" i="24"/>
  <c r="CV47" i="24"/>
  <c r="CW47" i="24"/>
  <c r="CX47" i="24"/>
  <c r="CY47" i="24"/>
  <c r="CZ47" i="24"/>
  <c r="DA47" i="24"/>
  <c r="DB47" i="24"/>
  <c r="DC47" i="24"/>
  <c r="DD47" i="24"/>
  <c r="DE47" i="24"/>
  <c r="DF47" i="24"/>
  <c r="DG47" i="24"/>
  <c r="DH47" i="24"/>
  <c r="DI47" i="24"/>
  <c r="DJ47" i="24"/>
  <c r="DK47" i="24"/>
  <c r="DL47" i="24"/>
  <c r="AI138" i="24"/>
  <c r="AL138" i="24"/>
  <c r="AP138" i="24"/>
  <c r="AS138" i="24"/>
  <c r="DM47" i="24"/>
  <c r="BX231" i="24"/>
  <c r="AO231" i="24"/>
  <c r="CI48" i="24"/>
  <c r="AG139" i="24"/>
  <c r="AO139" i="24"/>
  <c r="AR139" i="24"/>
  <c r="AH139" i="24"/>
  <c r="AM139" i="24"/>
  <c r="AK139" i="24"/>
  <c r="AN139" i="24"/>
  <c r="AQ139" i="24"/>
  <c r="CQ48" i="24"/>
  <c r="CR48" i="24"/>
  <c r="CS48" i="24"/>
  <c r="CT48" i="24"/>
  <c r="CW48" i="24"/>
  <c r="CX48" i="24"/>
  <c r="CY48" i="24"/>
  <c r="CZ48" i="24"/>
  <c r="DA48" i="24"/>
  <c r="DB48" i="24"/>
  <c r="DC48" i="24"/>
  <c r="DD48" i="24"/>
  <c r="DE48" i="24"/>
  <c r="DF48" i="24"/>
  <c r="DG48" i="24"/>
  <c r="DH48" i="24"/>
  <c r="DI48" i="24"/>
  <c r="DJ48" i="24"/>
  <c r="DK48" i="24"/>
  <c r="DL48" i="24"/>
  <c r="AI139" i="24"/>
  <c r="AL139" i="24"/>
  <c r="AP139" i="24"/>
  <c r="AS139" i="24"/>
  <c r="DM48" i="24"/>
  <c r="BX232" i="24"/>
  <c r="AO232" i="24"/>
  <c r="CI49" i="24"/>
  <c r="AG140" i="24"/>
  <c r="AO140" i="24"/>
  <c r="AR140" i="24"/>
  <c r="AH140" i="24"/>
  <c r="AM140" i="24"/>
  <c r="AK140" i="24"/>
  <c r="AN140" i="24"/>
  <c r="AQ140" i="24"/>
  <c r="CQ49" i="24"/>
  <c r="CR49" i="24"/>
  <c r="CS49" i="24"/>
  <c r="CT49" i="24"/>
  <c r="CU49" i="24"/>
  <c r="CV49" i="24"/>
  <c r="CW49" i="24"/>
  <c r="CX49" i="24"/>
  <c r="CY49" i="24"/>
  <c r="CZ49" i="24"/>
  <c r="DA49" i="24"/>
  <c r="DB49" i="24"/>
  <c r="DC49" i="24"/>
  <c r="DD49" i="24"/>
  <c r="DE49" i="24"/>
  <c r="DF49" i="24"/>
  <c r="DG49" i="24"/>
  <c r="DH49" i="24"/>
  <c r="DI49" i="24"/>
  <c r="DJ49" i="24"/>
  <c r="DK49" i="24"/>
  <c r="DL49" i="24"/>
  <c r="AI140" i="24"/>
  <c r="AL140" i="24"/>
  <c r="AP140" i="24"/>
  <c r="AS140" i="24"/>
  <c r="DM49" i="24"/>
  <c r="BX233" i="24"/>
  <c r="AO233" i="24"/>
  <c r="CI50" i="24"/>
  <c r="AG141" i="24"/>
  <c r="AO141" i="24"/>
  <c r="AR141" i="24"/>
  <c r="AH141" i="24"/>
  <c r="AM141" i="24"/>
  <c r="AK141" i="24"/>
  <c r="AN141" i="24"/>
  <c r="AQ141" i="24"/>
  <c r="CQ50" i="24"/>
  <c r="L72" i="24"/>
  <c r="AG50" i="24"/>
  <c r="AM50" i="24"/>
  <c r="AS50" i="24"/>
  <c r="M72" i="24"/>
  <c r="AH50" i="24"/>
  <c r="AN50" i="24"/>
  <c r="AT50" i="24"/>
  <c r="AI141" i="24"/>
  <c r="N72" i="24"/>
  <c r="AI50" i="24"/>
  <c r="AO50" i="24"/>
  <c r="AU50" i="24"/>
  <c r="CP50" i="24"/>
  <c r="CR50" i="24"/>
  <c r="AJ50" i="24"/>
  <c r="AP50" i="24"/>
  <c r="AV50" i="24"/>
  <c r="AW50" i="24"/>
  <c r="CL50" i="24"/>
  <c r="CS50" i="24"/>
  <c r="CT50" i="24"/>
  <c r="CU50" i="24"/>
  <c r="CV50" i="24"/>
  <c r="CW50" i="24"/>
  <c r="CX50" i="24"/>
  <c r="CY50" i="24"/>
  <c r="CZ50" i="24"/>
  <c r="DA50" i="24"/>
  <c r="DB50" i="24"/>
  <c r="DC50" i="24"/>
  <c r="DD50" i="24"/>
  <c r="DE50" i="24"/>
  <c r="DF50" i="24"/>
  <c r="DG50" i="24"/>
  <c r="DH50" i="24"/>
  <c r="DI50" i="24"/>
  <c r="DJ50" i="24"/>
  <c r="DK50" i="24"/>
  <c r="DL50" i="24"/>
  <c r="AL141" i="24"/>
  <c r="AP141" i="24"/>
  <c r="AS141" i="24"/>
  <c r="DM50" i="24"/>
  <c r="BX234" i="24"/>
  <c r="AO234" i="24"/>
  <c r="CI51" i="24"/>
  <c r="AG142" i="24"/>
  <c r="AO142" i="24"/>
  <c r="AR142" i="24"/>
  <c r="AH142" i="24"/>
  <c r="AM142" i="24"/>
  <c r="AK142" i="24"/>
  <c r="AN142" i="24"/>
  <c r="AQ142" i="24"/>
  <c r="CQ51" i="24"/>
  <c r="CR51" i="24"/>
  <c r="CS51" i="24"/>
  <c r="CT51" i="24"/>
  <c r="CU51" i="24"/>
  <c r="CV51" i="24"/>
  <c r="CW51" i="24"/>
  <c r="CX51" i="24"/>
  <c r="CY51" i="24"/>
  <c r="CZ51" i="24"/>
  <c r="DA51" i="24"/>
  <c r="DB51" i="24"/>
  <c r="DC51" i="24"/>
  <c r="DD51" i="24"/>
  <c r="DE51" i="24"/>
  <c r="DF51" i="24"/>
  <c r="DG51" i="24"/>
  <c r="DH51" i="24"/>
  <c r="DI51" i="24"/>
  <c r="DJ51" i="24"/>
  <c r="DK51" i="24"/>
  <c r="DL51" i="24"/>
  <c r="AI142" i="24"/>
  <c r="AL142" i="24"/>
  <c r="AP142" i="24"/>
  <c r="AS142" i="24"/>
  <c r="DM51" i="24"/>
  <c r="BX235" i="24"/>
  <c r="AO235" i="24"/>
  <c r="CI52" i="24"/>
  <c r="AG143" i="24"/>
  <c r="AO143" i="24"/>
  <c r="AR143" i="24"/>
  <c r="AH143" i="24"/>
  <c r="AM143" i="24"/>
  <c r="AK143" i="24"/>
  <c r="AN143" i="24"/>
  <c r="AQ143" i="24"/>
  <c r="CQ52" i="24"/>
  <c r="CR52" i="24"/>
  <c r="CS52" i="24"/>
  <c r="CT52" i="24"/>
  <c r="CU52" i="24"/>
  <c r="CV52" i="24"/>
  <c r="CW52" i="24"/>
  <c r="CX52" i="24"/>
  <c r="CY52" i="24"/>
  <c r="CZ52" i="24"/>
  <c r="DA52" i="24"/>
  <c r="DB52" i="24"/>
  <c r="DC52" i="24"/>
  <c r="DD52" i="24"/>
  <c r="DE52" i="24"/>
  <c r="DF52" i="24"/>
  <c r="DG52" i="24"/>
  <c r="DH52" i="24"/>
  <c r="DI52" i="24"/>
  <c r="DJ52" i="24"/>
  <c r="DK52" i="24"/>
  <c r="DL52" i="24"/>
  <c r="AI143" i="24"/>
  <c r="AL143" i="24"/>
  <c r="AP143" i="24"/>
  <c r="AS143" i="24"/>
  <c r="DM52" i="24"/>
  <c r="BX236" i="24"/>
  <c r="AO236" i="24"/>
  <c r="CI53" i="24"/>
  <c r="AG144" i="24"/>
  <c r="AO144" i="24"/>
  <c r="AR144" i="24"/>
  <c r="AH144" i="24"/>
  <c r="AM144" i="24"/>
  <c r="AK144" i="24"/>
  <c r="AN144" i="24"/>
  <c r="AQ144" i="24"/>
  <c r="CQ53" i="24"/>
  <c r="CR53" i="24"/>
  <c r="CS53" i="24"/>
  <c r="CT53" i="24"/>
  <c r="CU53" i="24"/>
  <c r="CV53" i="24"/>
  <c r="CW53" i="24"/>
  <c r="CX53" i="24"/>
  <c r="CY53" i="24"/>
  <c r="CZ53" i="24"/>
  <c r="DA53" i="24"/>
  <c r="DB53" i="24"/>
  <c r="DC53" i="24"/>
  <c r="DD53" i="24"/>
  <c r="DE53" i="24"/>
  <c r="DF53" i="24"/>
  <c r="DG53" i="24"/>
  <c r="DH53" i="24"/>
  <c r="DI53" i="24"/>
  <c r="DJ53" i="24"/>
  <c r="DK53" i="24"/>
  <c r="DL53" i="24"/>
  <c r="AI144" i="24"/>
  <c r="AL144" i="24"/>
  <c r="AP144" i="24"/>
  <c r="AS144" i="24"/>
  <c r="DM53" i="24"/>
  <c r="BX237" i="24"/>
  <c r="AO237" i="24"/>
  <c r="CI54" i="24"/>
  <c r="AG145" i="24"/>
  <c r="AO145" i="24"/>
  <c r="AR145" i="24"/>
  <c r="AH145" i="24"/>
  <c r="AM145" i="24"/>
  <c r="AK145" i="24"/>
  <c r="AN145" i="24"/>
  <c r="AQ145" i="24"/>
  <c r="CQ54" i="24"/>
  <c r="CR54" i="24"/>
  <c r="CS54" i="24"/>
  <c r="CT54" i="24"/>
  <c r="CU54" i="24"/>
  <c r="CV54" i="24"/>
  <c r="CW54" i="24"/>
  <c r="CX54" i="24"/>
  <c r="CY54" i="24"/>
  <c r="CZ54" i="24"/>
  <c r="DA54" i="24"/>
  <c r="DB54" i="24"/>
  <c r="DC54" i="24"/>
  <c r="DD54" i="24"/>
  <c r="DE54" i="24"/>
  <c r="DF54" i="24"/>
  <c r="DG54" i="24"/>
  <c r="DH54" i="24"/>
  <c r="DI54" i="24"/>
  <c r="DJ54" i="24"/>
  <c r="DK54" i="24"/>
  <c r="DL54" i="24"/>
  <c r="AI145" i="24"/>
  <c r="AL145" i="24"/>
  <c r="AP145" i="24"/>
  <c r="AS145" i="24"/>
  <c r="DM54" i="24"/>
  <c r="BX238" i="24"/>
  <c r="AO238" i="24"/>
  <c r="CI55" i="24"/>
  <c r="AG146" i="24"/>
  <c r="AO146" i="24"/>
  <c r="AR146" i="24"/>
  <c r="AH146" i="24"/>
  <c r="AM146" i="24"/>
  <c r="AK146" i="24"/>
  <c r="AN146" i="24"/>
  <c r="AQ146" i="24"/>
  <c r="CQ55" i="24"/>
  <c r="CR55" i="24"/>
  <c r="CS55" i="24"/>
  <c r="CT55" i="24"/>
  <c r="CU55" i="24"/>
  <c r="CV55" i="24"/>
  <c r="CW55" i="24"/>
  <c r="CX55" i="24"/>
  <c r="CY55" i="24"/>
  <c r="CZ55" i="24"/>
  <c r="DA55" i="24"/>
  <c r="DB55" i="24"/>
  <c r="DC55" i="24"/>
  <c r="DD55" i="24"/>
  <c r="DE55" i="24"/>
  <c r="DF55" i="24"/>
  <c r="DG55" i="24"/>
  <c r="DH55" i="24"/>
  <c r="DI55" i="24"/>
  <c r="DJ55" i="24"/>
  <c r="DK55" i="24"/>
  <c r="DL55" i="24"/>
  <c r="AI146" i="24"/>
  <c r="AL146" i="24"/>
  <c r="AP146" i="24"/>
  <c r="AS146" i="24"/>
  <c r="DM55" i="24"/>
  <c r="BX239" i="24"/>
  <c r="AO239" i="24"/>
  <c r="CI56" i="24"/>
  <c r="AG147" i="24"/>
  <c r="AO147" i="24"/>
  <c r="AR147" i="24"/>
  <c r="AH147" i="24"/>
  <c r="AM147" i="24"/>
  <c r="AK147" i="24"/>
  <c r="AN147" i="24"/>
  <c r="AQ147" i="24"/>
  <c r="CQ56" i="24"/>
  <c r="CR56" i="24"/>
  <c r="CS56" i="24"/>
  <c r="CT56" i="24"/>
  <c r="CU56" i="24"/>
  <c r="CV56" i="24"/>
  <c r="CW56" i="24"/>
  <c r="CX56" i="24"/>
  <c r="CY56" i="24"/>
  <c r="CZ56" i="24"/>
  <c r="DA56" i="24"/>
  <c r="DB56" i="24"/>
  <c r="DC56" i="24"/>
  <c r="DD56" i="24"/>
  <c r="DE56" i="24"/>
  <c r="DF56" i="24"/>
  <c r="DG56" i="24"/>
  <c r="DH56" i="24"/>
  <c r="DI56" i="24"/>
  <c r="DJ56" i="24"/>
  <c r="DK56" i="24"/>
  <c r="DL56" i="24"/>
  <c r="AI147" i="24"/>
  <c r="AL147" i="24"/>
  <c r="AP147" i="24"/>
  <c r="AS147" i="24"/>
  <c r="DM56" i="24"/>
  <c r="BX240" i="24"/>
  <c r="AO240" i="24"/>
  <c r="CI57" i="24"/>
  <c r="AG148" i="24"/>
  <c r="AO148" i="24"/>
  <c r="AR148" i="24"/>
  <c r="AH148" i="24"/>
  <c r="AM148" i="24"/>
  <c r="AK148" i="24"/>
  <c r="AN148" i="24"/>
  <c r="AQ148" i="24"/>
  <c r="CQ57" i="24"/>
  <c r="CR57" i="24"/>
  <c r="CS57" i="24"/>
  <c r="CT57" i="24"/>
  <c r="CU57" i="24"/>
  <c r="CV57" i="24"/>
  <c r="CW57" i="24"/>
  <c r="CX57" i="24"/>
  <c r="CY57" i="24"/>
  <c r="CZ57" i="24"/>
  <c r="DA57" i="24"/>
  <c r="DB57" i="24"/>
  <c r="DC57" i="24"/>
  <c r="DD57" i="24"/>
  <c r="DE57" i="24"/>
  <c r="DF57" i="24"/>
  <c r="DG57" i="24"/>
  <c r="DH57" i="24"/>
  <c r="DI57" i="24"/>
  <c r="DJ57" i="24"/>
  <c r="DK57" i="24"/>
  <c r="DL57" i="24"/>
  <c r="AI148" i="24"/>
  <c r="AL148" i="24"/>
  <c r="AP148" i="24"/>
  <c r="AS148" i="24"/>
  <c r="DM57" i="24"/>
  <c r="BX241" i="24"/>
  <c r="AO241" i="24"/>
  <c r="CI58" i="24"/>
  <c r="AG149" i="24"/>
  <c r="AO149" i="24"/>
  <c r="AR149" i="24"/>
  <c r="AH149" i="24"/>
  <c r="AM149" i="24"/>
  <c r="AK149" i="24"/>
  <c r="AN149" i="24"/>
  <c r="AQ149" i="24"/>
  <c r="CQ58" i="24"/>
  <c r="CR58" i="24"/>
  <c r="CS58" i="24"/>
  <c r="CT58" i="24"/>
  <c r="CU58" i="24"/>
  <c r="CV58" i="24"/>
  <c r="CW58" i="24"/>
  <c r="CX58" i="24"/>
  <c r="CY58" i="24"/>
  <c r="CZ58" i="24"/>
  <c r="DA58" i="24"/>
  <c r="DB58" i="24"/>
  <c r="DC58" i="24"/>
  <c r="DD58" i="24"/>
  <c r="DE58" i="24"/>
  <c r="DF58" i="24"/>
  <c r="DG58" i="24"/>
  <c r="DH58" i="24"/>
  <c r="DI58" i="24"/>
  <c r="DJ58" i="24"/>
  <c r="DK58" i="24"/>
  <c r="DL58" i="24"/>
  <c r="AI149" i="24"/>
  <c r="AL149" i="24"/>
  <c r="AP149" i="24"/>
  <c r="AS149" i="24"/>
  <c r="DM58" i="24"/>
  <c r="BX242" i="24"/>
  <c r="AO242" i="24"/>
  <c r="CI59" i="24"/>
  <c r="AG150" i="24"/>
  <c r="AO150" i="24"/>
  <c r="AR150" i="24"/>
  <c r="AH150" i="24"/>
  <c r="AM150" i="24"/>
  <c r="AK150" i="24"/>
  <c r="AN150" i="24"/>
  <c r="AQ150" i="24"/>
  <c r="CQ59" i="24"/>
  <c r="CR59" i="24"/>
  <c r="CS59" i="24"/>
  <c r="CT59" i="24"/>
  <c r="CU59" i="24"/>
  <c r="CV59" i="24"/>
  <c r="CW59" i="24"/>
  <c r="CX59" i="24"/>
  <c r="CY59" i="24"/>
  <c r="CZ59" i="24"/>
  <c r="DA59" i="24"/>
  <c r="DB59" i="24"/>
  <c r="DC59" i="24"/>
  <c r="DD59" i="24"/>
  <c r="DE59" i="24"/>
  <c r="DF59" i="24"/>
  <c r="DG59" i="24"/>
  <c r="DH59" i="24"/>
  <c r="DI59" i="24"/>
  <c r="DJ59" i="24"/>
  <c r="DK59" i="24"/>
  <c r="DL59" i="24"/>
  <c r="AI150" i="24"/>
  <c r="AL150" i="24"/>
  <c r="AP150" i="24"/>
  <c r="AS150" i="24"/>
  <c r="DM59" i="24"/>
  <c r="BX243" i="24"/>
  <c r="AO243" i="24"/>
  <c r="CI60" i="24"/>
  <c r="AG151" i="24"/>
  <c r="AO151" i="24"/>
  <c r="AR151" i="24"/>
  <c r="AH151" i="24"/>
  <c r="AM151" i="24"/>
  <c r="AK151" i="24"/>
  <c r="AN151" i="24"/>
  <c r="AQ151" i="24"/>
  <c r="CQ60" i="24"/>
  <c r="CR60" i="24"/>
  <c r="CS60" i="24"/>
  <c r="CT60" i="24"/>
  <c r="CU60" i="24"/>
  <c r="CV60" i="24"/>
  <c r="CW60" i="24"/>
  <c r="CX60" i="24"/>
  <c r="CY60" i="24"/>
  <c r="CZ60" i="24"/>
  <c r="DA60" i="24"/>
  <c r="DB60" i="24"/>
  <c r="DC60" i="24"/>
  <c r="DD60" i="24"/>
  <c r="DE60" i="24"/>
  <c r="DF60" i="24"/>
  <c r="DG60" i="24"/>
  <c r="DH60" i="24"/>
  <c r="DI60" i="24"/>
  <c r="DJ60" i="24"/>
  <c r="DK60" i="24"/>
  <c r="DL60" i="24"/>
  <c r="AI151" i="24"/>
  <c r="AL151" i="24"/>
  <c r="AP151" i="24"/>
  <c r="AS151" i="24"/>
  <c r="DM60" i="24"/>
  <c r="BX244" i="24"/>
  <c r="AO244" i="24"/>
  <c r="CI61" i="24"/>
  <c r="AG152" i="24"/>
  <c r="AO152" i="24"/>
  <c r="AR152" i="24"/>
  <c r="AH152" i="24"/>
  <c r="AM152" i="24"/>
  <c r="AK152" i="24"/>
  <c r="AN152" i="24"/>
  <c r="AQ152" i="24"/>
  <c r="CQ61" i="24"/>
  <c r="CR61" i="24"/>
  <c r="CS61" i="24"/>
  <c r="CT61" i="24"/>
  <c r="CU61" i="24"/>
  <c r="CV61" i="24"/>
  <c r="CW61" i="24"/>
  <c r="CX61" i="24"/>
  <c r="CY61" i="24"/>
  <c r="CZ61" i="24"/>
  <c r="DA61" i="24"/>
  <c r="DB61" i="24"/>
  <c r="L83" i="24"/>
  <c r="AG61" i="24"/>
  <c r="AM61" i="24"/>
  <c r="AS61" i="24"/>
  <c r="CJ61" i="24"/>
  <c r="DC61" i="24"/>
  <c r="M83" i="24"/>
  <c r="AI152" i="24"/>
  <c r="N83" i="24"/>
  <c r="AX61" i="24"/>
  <c r="DD61" i="24"/>
  <c r="DG61" i="24"/>
  <c r="DJ61" i="24"/>
  <c r="DE61" i="24"/>
  <c r="AH61" i="24"/>
  <c r="AI61" i="24"/>
  <c r="AN61" i="24"/>
  <c r="AO61" i="24"/>
  <c r="DF61" i="24"/>
  <c r="DH61" i="24"/>
  <c r="DI61" i="24"/>
  <c r="DK61" i="24"/>
  <c r="DL61" i="24"/>
  <c r="AL152" i="24"/>
  <c r="AP152" i="24"/>
  <c r="AS152" i="24"/>
  <c r="DM61" i="24"/>
  <c r="BX245" i="24"/>
  <c r="AO245" i="24"/>
  <c r="CI62" i="24"/>
  <c r="AG153" i="24"/>
  <c r="AO153" i="24"/>
  <c r="AR153" i="24"/>
  <c r="AH153" i="24"/>
  <c r="AM153" i="24"/>
  <c r="AK153" i="24"/>
  <c r="AN153" i="24"/>
  <c r="AQ153" i="24"/>
  <c r="CQ62" i="24"/>
  <c r="CR62" i="24"/>
  <c r="CS62" i="24"/>
  <c r="CT62" i="24"/>
  <c r="CU62" i="24"/>
  <c r="CV62" i="24"/>
  <c r="CW62" i="24"/>
  <c r="CX62" i="24"/>
  <c r="CY62" i="24"/>
  <c r="CZ62" i="24"/>
  <c r="DA62" i="24"/>
  <c r="DB62" i="24"/>
  <c r="DG62" i="24"/>
  <c r="DH62" i="24"/>
  <c r="DI62" i="24"/>
  <c r="DJ62" i="24"/>
  <c r="DK62" i="24"/>
  <c r="DL62" i="24"/>
  <c r="AI153" i="24"/>
  <c r="AL153" i="24"/>
  <c r="AP153" i="24"/>
  <c r="AS153" i="24"/>
  <c r="DM62" i="24"/>
  <c r="BX246" i="24"/>
  <c r="AO246" i="24"/>
  <c r="CI63" i="24"/>
  <c r="AG154" i="24"/>
  <c r="AO154" i="24"/>
  <c r="AR154" i="24"/>
  <c r="AH154" i="24"/>
  <c r="AM154" i="24"/>
  <c r="AK154" i="24"/>
  <c r="AN154" i="24"/>
  <c r="AQ154" i="24"/>
  <c r="CQ63" i="24"/>
  <c r="CR63" i="24"/>
  <c r="CS63" i="24"/>
  <c r="CT63" i="24"/>
  <c r="CU63" i="24"/>
  <c r="CV63" i="24"/>
  <c r="CW63" i="24"/>
  <c r="DB63" i="24"/>
  <c r="DG63" i="24"/>
  <c r="DH63" i="24"/>
  <c r="DI63" i="24"/>
  <c r="DJ63" i="24"/>
  <c r="DK63" i="24"/>
  <c r="DL63" i="24"/>
  <c r="AI154" i="24"/>
  <c r="AL154" i="24"/>
  <c r="AP154" i="24"/>
  <c r="AS154" i="24"/>
  <c r="DM63" i="24"/>
  <c r="BX247" i="24"/>
  <c r="AO247" i="24"/>
  <c r="CI64" i="24"/>
  <c r="AG155" i="24"/>
  <c r="AO155" i="24"/>
  <c r="AR155" i="24"/>
  <c r="AH155" i="24"/>
  <c r="AM155" i="24"/>
  <c r="AK155" i="24"/>
  <c r="AN155" i="24"/>
  <c r="AQ155" i="24"/>
  <c r="CQ64" i="24"/>
  <c r="CR64" i="24"/>
  <c r="CS64" i="24"/>
  <c r="CT64" i="24"/>
  <c r="CU64" i="24"/>
  <c r="CV64" i="24"/>
  <c r="CW64" i="24"/>
  <c r="CX64" i="24"/>
  <c r="CY64" i="24"/>
  <c r="CZ64" i="24"/>
  <c r="DA64" i="24"/>
  <c r="DB64" i="24"/>
  <c r="L86" i="24"/>
  <c r="AG64" i="24"/>
  <c r="AM64" i="24"/>
  <c r="AS64" i="24"/>
  <c r="CJ64" i="24"/>
  <c r="DC64" i="24"/>
  <c r="M86" i="24"/>
  <c r="AI155" i="24"/>
  <c r="N86" i="24"/>
  <c r="AX64" i="24"/>
  <c r="DD64" i="24"/>
  <c r="DG64" i="24"/>
  <c r="DJ64" i="24"/>
  <c r="DE64" i="24"/>
  <c r="AH64" i="24"/>
  <c r="AI64" i="24"/>
  <c r="AN64" i="24"/>
  <c r="AO64" i="24"/>
  <c r="DF64" i="24"/>
  <c r="DH64" i="24"/>
  <c r="DI64" i="24"/>
  <c r="DK64" i="24"/>
  <c r="DL64" i="24"/>
  <c r="AL155" i="24"/>
  <c r="AP155" i="24"/>
  <c r="AS155" i="24"/>
  <c r="DM64" i="24"/>
  <c r="BX248" i="24"/>
  <c r="AO248" i="24"/>
  <c r="CI65" i="24"/>
  <c r="AG156" i="24"/>
  <c r="AO156" i="24"/>
  <c r="AR156" i="24"/>
  <c r="AH156" i="24"/>
  <c r="AM156" i="24"/>
  <c r="AK156" i="24"/>
  <c r="AN156" i="24"/>
  <c r="AQ156" i="24"/>
  <c r="CQ65" i="24"/>
  <c r="CR65" i="24"/>
  <c r="CS65" i="24"/>
  <c r="CT65" i="24"/>
  <c r="CU65" i="24"/>
  <c r="CV65" i="24"/>
  <c r="CW65" i="24"/>
  <c r="CX65" i="24"/>
  <c r="CY65" i="24"/>
  <c r="CZ65" i="24"/>
  <c r="DA65" i="24"/>
  <c r="DB65" i="24"/>
  <c r="DG65" i="24"/>
  <c r="DH65" i="24"/>
  <c r="DI65" i="24"/>
  <c r="DJ65" i="24"/>
  <c r="DK65" i="24"/>
  <c r="DL65" i="24"/>
  <c r="AI156" i="24"/>
  <c r="AL156" i="24"/>
  <c r="AP156" i="24"/>
  <c r="AS156" i="24"/>
  <c r="DM65" i="24"/>
  <c r="BX249" i="24"/>
  <c r="AO249" i="24"/>
  <c r="CI66" i="24"/>
  <c r="AG157" i="24"/>
  <c r="AO157" i="24"/>
  <c r="AR157" i="24"/>
  <c r="AH157" i="24"/>
  <c r="AM157" i="24"/>
  <c r="AK157" i="24"/>
  <c r="AN157" i="24"/>
  <c r="AQ157" i="24"/>
  <c r="CQ66" i="24"/>
  <c r="CR66" i="24"/>
  <c r="CS66" i="24"/>
  <c r="CT66" i="24"/>
  <c r="CU66" i="24"/>
  <c r="CV66" i="24"/>
  <c r="CW66" i="24"/>
  <c r="DB66" i="24"/>
  <c r="DG66" i="24"/>
  <c r="DH66" i="24"/>
  <c r="DI66" i="24"/>
  <c r="DJ66" i="24"/>
  <c r="DK66" i="24"/>
  <c r="DL66" i="24"/>
  <c r="AI157" i="24"/>
  <c r="AL157" i="24"/>
  <c r="AP157" i="24"/>
  <c r="AS157" i="24"/>
  <c r="DM66" i="24"/>
  <c r="AJ158" i="24"/>
  <c r="BX250" i="24"/>
  <c r="AO250" i="24"/>
  <c r="CI67" i="24"/>
  <c r="AG158" i="24"/>
  <c r="AO158" i="24"/>
  <c r="AR158" i="24"/>
  <c r="AH158" i="24"/>
  <c r="AM158" i="24"/>
  <c r="AK158" i="24"/>
  <c r="AN158" i="24"/>
  <c r="AQ158" i="24"/>
  <c r="CQ67" i="24"/>
  <c r="CR67" i="24"/>
  <c r="CS67" i="24"/>
  <c r="CT67" i="24"/>
  <c r="CU67" i="24"/>
  <c r="CV67" i="24"/>
  <c r="CW67" i="24"/>
  <c r="CX67" i="24"/>
  <c r="CY67" i="24"/>
  <c r="CZ67" i="24"/>
  <c r="DA67" i="24"/>
  <c r="DB67" i="24"/>
  <c r="DC67" i="24"/>
  <c r="DD67" i="24"/>
  <c r="DE67" i="24"/>
  <c r="DF67" i="24"/>
  <c r="DG67" i="24"/>
  <c r="DH67" i="24"/>
  <c r="DI67" i="24"/>
  <c r="DJ67" i="24"/>
  <c r="DK67" i="24"/>
  <c r="DL67" i="24"/>
  <c r="AI158" i="24"/>
  <c r="AL158" i="24"/>
  <c r="AP158" i="24"/>
  <c r="AS158" i="24"/>
  <c r="DM67" i="24"/>
  <c r="AJ159" i="24"/>
  <c r="BX251" i="24"/>
  <c r="CI68" i="24"/>
  <c r="AG159" i="24"/>
  <c r="AO159" i="24"/>
  <c r="AR159" i="24"/>
  <c r="AH159" i="24"/>
  <c r="AM159" i="24"/>
  <c r="AK159" i="24"/>
  <c r="AN159" i="24"/>
  <c r="AQ159" i="24"/>
  <c r="CQ68" i="24"/>
  <c r="CR68" i="24"/>
  <c r="CS68" i="24"/>
  <c r="CT68" i="24"/>
  <c r="CU68" i="24"/>
  <c r="CV68" i="24"/>
  <c r="CW68" i="24"/>
  <c r="CX68" i="24"/>
  <c r="CY68" i="24"/>
  <c r="CZ68" i="24"/>
  <c r="DA68" i="24"/>
  <c r="DB68" i="24"/>
  <c r="DG68" i="24"/>
  <c r="DH68" i="24"/>
  <c r="DI68" i="24"/>
  <c r="DJ68" i="24"/>
  <c r="DK68" i="24"/>
  <c r="DL68" i="24"/>
  <c r="AI159" i="24"/>
  <c r="AL159" i="24"/>
  <c r="AP159" i="24"/>
  <c r="AS159" i="24"/>
  <c r="DM68" i="24"/>
  <c r="AJ160" i="24"/>
  <c r="BX252" i="24"/>
  <c r="CI69" i="24"/>
  <c r="AG160" i="24"/>
  <c r="AO160" i="24"/>
  <c r="AR160" i="24"/>
  <c r="AH160" i="24"/>
  <c r="AM160" i="24"/>
  <c r="AK160" i="24"/>
  <c r="AN160" i="24"/>
  <c r="AQ160" i="24"/>
  <c r="CQ69" i="24"/>
  <c r="CR69" i="24"/>
  <c r="CS69" i="24"/>
  <c r="CT69" i="24"/>
  <c r="CU69" i="24"/>
  <c r="CV69" i="24"/>
  <c r="CW69" i="24"/>
  <c r="DB69" i="24"/>
  <c r="DG69" i="24"/>
  <c r="DH69" i="24"/>
  <c r="DI69" i="24"/>
  <c r="DJ69" i="24"/>
  <c r="DK69" i="24"/>
  <c r="DL69" i="24"/>
  <c r="AI160" i="24"/>
  <c r="AL160" i="24"/>
  <c r="AP160" i="24"/>
  <c r="AS160" i="24"/>
  <c r="DM69" i="24"/>
  <c r="AJ161" i="24"/>
  <c r="BX253" i="24"/>
  <c r="CI70" i="24"/>
  <c r="AG161" i="24"/>
  <c r="AO161" i="24"/>
  <c r="AR161" i="24"/>
  <c r="AH161" i="24"/>
  <c r="AM161" i="24"/>
  <c r="AK161" i="24"/>
  <c r="AN161" i="24"/>
  <c r="AQ161" i="24"/>
  <c r="CQ70" i="24"/>
  <c r="CR70" i="24"/>
  <c r="CS70" i="24"/>
  <c r="CT70" i="24"/>
  <c r="CU70" i="24"/>
  <c r="CV70" i="24"/>
  <c r="CW70" i="24"/>
  <c r="CX70" i="24"/>
  <c r="CY70" i="24"/>
  <c r="CZ70" i="24"/>
  <c r="DA70" i="24"/>
  <c r="DB70" i="24"/>
  <c r="DC70" i="24"/>
  <c r="DD70" i="24"/>
  <c r="DE70" i="24"/>
  <c r="DF70" i="24"/>
  <c r="DG70" i="24"/>
  <c r="DH70" i="24"/>
  <c r="DI70" i="24"/>
  <c r="DJ70" i="24"/>
  <c r="DK70" i="24"/>
  <c r="DL70" i="24"/>
  <c r="AI161" i="24"/>
  <c r="AL161" i="24"/>
  <c r="AP161" i="24"/>
  <c r="AS161" i="24"/>
  <c r="DM70" i="24"/>
  <c r="AJ162" i="24"/>
  <c r="BX254" i="24"/>
  <c r="CI71" i="24"/>
  <c r="AG162" i="24"/>
  <c r="AO162" i="24"/>
  <c r="AR162" i="24"/>
  <c r="AH162" i="24"/>
  <c r="AM162" i="24"/>
  <c r="AK162" i="24"/>
  <c r="AN162" i="24"/>
  <c r="AQ162" i="24"/>
  <c r="CQ71" i="24"/>
  <c r="CR71" i="24"/>
  <c r="CS71" i="24"/>
  <c r="CT71" i="24"/>
  <c r="CU71" i="24"/>
  <c r="CV71" i="24"/>
  <c r="CW71" i="24"/>
  <c r="CX71" i="24"/>
  <c r="CY71" i="24"/>
  <c r="CZ71" i="24"/>
  <c r="DA71" i="24"/>
  <c r="DB71" i="24"/>
  <c r="DG71" i="24"/>
  <c r="DH71" i="24"/>
  <c r="DI71" i="24"/>
  <c r="DJ71" i="24"/>
  <c r="DK71" i="24"/>
  <c r="DL71" i="24"/>
  <c r="AI162" i="24"/>
  <c r="AL162" i="24"/>
  <c r="AP162" i="24"/>
  <c r="AS162" i="24"/>
  <c r="DM71" i="24"/>
  <c r="AJ163" i="24"/>
  <c r="BX255" i="24"/>
  <c r="CI72" i="24"/>
  <c r="AG163" i="24"/>
  <c r="AO163" i="24"/>
  <c r="AR163" i="24"/>
  <c r="AH163" i="24"/>
  <c r="AM163" i="24"/>
  <c r="AK163" i="24"/>
  <c r="AN163" i="24"/>
  <c r="AQ163" i="24"/>
  <c r="CQ72" i="24"/>
  <c r="CR72" i="24"/>
  <c r="CS72" i="24"/>
  <c r="CT72" i="24"/>
  <c r="CU72" i="24"/>
  <c r="CV72" i="24"/>
  <c r="CW72" i="24"/>
  <c r="DB72" i="24"/>
  <c r="DG72" i="24"/>
  <c r="DH72" i="24"/>
  <c r="DI72" i="24"/>
  <c r="DJ72" i="24"/>
  <c r="DK72" i="24"/>
  <c r="DL72" i="24"/>
  <c r="AI163" i="24"/>
  <c r="AL163" i="24"/>
  <c r="AP163" i="24"/>
  <c r="AS163" i="24"/>
  <c r="DM72" i="24"/>
  <c r="AJ164" i="24"/>
  <c r="BX256" i="24"/>
  <c r="CI73" i="24"/>
  <c r="AG164" i="24"/>
  <c r="AO164" i="24"/>
  <c r="AR164" i="24"/>
  <c r="AH164" i="24"/>
  <c r="AM164" i="24"/>
  <c r="AK164" i="24"/>
  <c r="AN164" i="24"/>
  <c r="AQ164" i="24"/>
  <c r="CQ73" i="24"/>
  <c r="CR73" i="24"/>
  <c r="CS73" i="24"/>
  <c r="CT73" i="24"/>
  <c r="CU73" i="24"/>
  <c r="CV73" i="24"/>
  <c r="CW73" i="24"/>
  <c r="CX73" i="24"/>
  <c r="CY73" i="24"/>
  <c r="CZ73" i="24"/>
  <c r="DA73" i="24"/>
  <c r="DB73" i="24"/>
  <c r="DC73" i="24"/>
  <c r="DD73" i="24"/>
  <c r="DE73" i="24"/>
  <c r="DF73" i="24"/>
  <c r="DG73" i="24"/>
  <c r="DH73" i="24"/>
  <c r="DI73" i="24"/>
  <c r="DJ73" i="24"/>
  <c r="DK73" i="24"/>
  <c r="DL73" i="24"/>
  <c r="AI164" i="24"/>
  <c r="AL164" i="24"/>
  <c r="AP164" i="24"/>
  <c r="AS164" i="24"/>
  <c r="DM73" i="24"/>
  <c r="AJ165" i="24"/>
  <c r="BX257" i="24"/>
  <c r="CI74" i="24"/>
  <c r="AG165" i="24"/>
  <c r="AO165" i="24"/>
  <c r="AR165" i="24"/>
  <c r="AH165" i="24"/>
  <c r="AM165" i="24"/>
  <c r="AK165" i="24"/>
  <c r="AN165" i="24"/>
  <c r="AQ165" i="24"/>
  <c r="CQ74" i="24"/>
  <c r="CR74" i="24"/>
  <c r="CS74" i="24"/>
  <c r="CT74" i="24"/>
  <c r="CU74" i="24"/>
  <c r="CV74" i="24"/>
  <c r="CW74" i="24"/>
  <c r="CX74" i="24"/>
  <c r="CY74" i="24"/>
  <c r="CZ74" i="24"/>
  <c r="DA74" i="24"/>
  <c r="DB74" i="24"/>
  <c r="DG74" i="24"/>
  <c r="DH74" i="24"/>
  <c r="DI74" i="24"/>
  <c r="DJ74" i="24"/>
  <c r="DK74" i="24"/>
  <c r="DL74" i="24"/>
  <c r="AI165" i="24"/>
  <c r="AL165" i="24"/>
  <c r="AP165" i="24"/>
  <c r="AS165" i="24"/>
  <c r="DM74" i="24"/>
  <c r="AJ166" i="24"/>
  <c r="BX258" i="24"/>
  <c r="CI75" i="24"/>
  <c r="AG166" i="24"/>
  <c r="AO166" i="24"/>
  <c r="AR166" i="24"/>
  <c r="AH166" i="24"/>
  <c r="AM166" i="24"/>
  <c r="AK166" i="24"/>
  <c r="AN166" i="24"/>
  <c r="AQ166" i="24"/>
  <c r="CQ75" i="24"/>
  <c r="CR75" i="24"/>
  <c r="CS75" i="24"/>
  <c r="CT75" i="24"/>
  <c r="CU75" i="24"/>
  <c r="CV75" i="24"/>
  <c r="CW75" i="24"/>
  <c r="DB75" i="24"/>
  <c r="DG75" i="24"/>
  <c r="DH75" i="24"/>
  <c r="DI75" i="24"/>
  <c r="DJ75" i="24"/>
  <c r="DK75" i="24"/>
  <c r="DL75" i="24"/>
  <c r="AI166" i="24"/>
  <c r="AL166" i="24"/>
  <c r="AP166" i="24"/>
  <c r="AS166" i="24"/>
  <c r="DM75" i="24"/>
  <c r="AJ167" i="24"/>
  <c r="BX259" i="24"/>
  <c r="CI76" i="24"/>
  <c r="AG167" i="24"/>
  <c r="AO167" i="24"/>
  <c r="AR167" i="24"/>
  <c r="AH167" i="24"/>
  <c r="AM167" i="24"/>
  <c r="AK167" i="24"/>
  <c r="AN167" i="24"/>
  <c r="AQ167" i="24"/>
  <c r="CQ76" i="24"/>
  <c r="CR76" i="24"/>
  <c r="CS76" i="24"/>
  <c r="CT76" i="24"/>
  <c r="CU76" i="24"/>
  <c r="CV76" i="24"/>
  <c r="CW76" i="24"/>
  <c r="CX76" i="24"/>
  <c r="CY76" i="24"/>
  <c r="CZ76" i="24"/>
  <c r="DA76" i="24"/>
  <c r="DB76" i="24"/>
  <c r="DC76" i="24"/>
  <c r="DD76" i="24"/>
  <c r="DE76" i="24"/>
  <c r="DF76" i="24"/>
  <c r="DG76" i="24"/>
  <c r="DH76" i="24"/>
  <c r="DI76" i="24"/>
  <c r="DJ76" i="24"/>
  <c r="DK76" i="24"/>
  <c r="DL76" i="24"/>
  <c r="AI167" i="24"/>
  <c r="AL167" i="24"/>
  <c r="AP167" i="24"/>
  <c r="AS167" i="24"/>
  <c r="DM76" i="24"/>
  <c r="AJ168" i="24"/>
  <c r="BX260" i="24"/>
  <c r="CI77" i="24"/>
  <c r="AG168" i="24"/>
  <c r="AO168" i="24"/>
  <c r="AR168" i="24"/>
  <c r="AH168" i="24"/>
  <c r="AM168" i="24"/>
  <c r="AK168" i="24"/>
  <c r="AN168" i="24"/>
  <c r="AQ168" i="24"/>
  <c r="CQ77" i="24"/>
  <c r="CR77" i="24"/>
  <c r="CS77" i="24"/>
  <c r="CT77" i="24"/>
  <c r="CU77" i="24"/>
  <c r="CV77" i="24"/>
  <c r="CW77" i="24"/>
  <c r="CX77" i="24"/>
  <c r="CY77" i="24"/>
  <c r="CZ77" i="24"/>
  <c r="DA77" i="24"/>
  <c r="DB77" i="24"/>
  <c r="DG77" i="24"/>
  <c r="DH77" i="24"/>
  <c r="DI77" i="24"/>
  <c r="DJ77" i="24"/>
  <c r="DK77" i="24"/>
  <c r="DL77" i="24"/>
  <c r="AI168" i="24"/>
  <c r="AL168" i="24"/>
  <c r="AP168" i="24"/>
  <c r="AS168" i="24"/>
  <c r="DM77" i="24"/>
  <c r="AJ169" i="24"/>
  <c r="BX261" i="24"/>
  <c r="CI78" i="24"/>
  <c r="AG169" i="24"/>
  <c r="AO169" i="24"/>
  <c r="AR169" i="24"/>
  <c r="AH169" i="24"/>
  <c r="AM169" i="24"/>
  <c r="AK169" i="24"/>
  <c r="AN169" i="24"/>
  <c r="AQ169" i="24"/>
  <c r="CQ78" i="24"/>
  <c r="CR78" i="24"/>
  <c r="CS78" i="24"/>
  <c r="CT78" i="24"/>
  <c r="CU78" i="24"/>
  <c r="CV78" i="24"/>
  <c r="CW78" i="24"/>
  <c r="DB78" i="24"/>
  <c r="DG78" i="24"/>
  <c r="DH78" i="24"/>
  <c r="DI78" i="24"/>
  <c r="DJ78" i="24"/>
  <c r="DK78" i="24"/>
  <c r="DL78" i="24"/>
  <c r="AI169" i="24"/>
  <c r="AL169" i="24"/>
  <c r="AP169" i="24"/>
  <c r="AS169" i="24"/>
  <c r="DM78" i="24"/>
  <c r="AJ170" i="24"/>
  <c r="BX262" i="24"/>
  <c r="CI79" i="24"/>
  <c r="AG170" i="24"/>
  <c r="AO170" i="24"/>
  <c r="AR170" i="24"/>
  <c r="AH170" i="24"/>
  <c r="AM170" i="24"/>
  <c r="AK170" i="24"/>
  <c r="AN170" i="24"/>
  <c r="AQ170" i="24"/>
  <c r="CQ79" i="24"/>
  <c r="CR79" i="24"/>
  <c r="CS79" i="24"/>
  <c r="CT79" i="24"/>
  <c r="CU79" i="24"/>
  <c r="CV79" i="24"/>
  <c r="CW79" i="24"/>
  <c r="CX79" i="24"/>
  <c r="CY79" i="24"/>
  <c r="CZ79" i="24"/>
  <c r="DA79" i="24"/>
  <c r="DB79" i="24"/>
  <c r="DC79" i="24"/>
  <c r="DD79" i="24"/>
  <c r="DE79" i="24"/>
  <c r="DF79" i="24"/>
  <c r="DG79" i="24"/>
  <c r="DH79" i="24"/>
  <c r="DI79" i="24"/>
  <c r="DJ79" i="24"/>
  <c r="DK79" i="24"/>
  <c r="DL79" i="24"/>
  <c r="AI170" i="24"/>
  <c r="AL170" i="24"/>
  <c r="AP170" i="24"/>
  <c r="AS170" i="24"/>
  <c r="DM79" i="24"/>
  <c r="AJ171" i="24"/>
  <c r="BX263" i="24"/>
  <c r="CI80" i="24"/>
  <c r="AG171" i="24"/>
  <c r="AO171" i="24"/>
  <c r="AR171" i="24"/>
  <c r="AH171" i="24"/>
  <c r="AM171" i="24"/>
  <c r="AK171" i="24"/>
  <c r="AN171" i="24"/>
  <c r="AQ171" i="24"/>
  <c r="CQ80" i="24"/>
  <c r="CR80" i="24"/>
  <c r="CS80" i="24"/>
  <c r="CT80" i="24"/>
  <c r="CU80" i="24"/>
  <c r="CV80" i="24"/>
  <c r="CW80" i="24"/>
  <c r="CX80" i="24"/>
  <c r="CY80" i="24"/>
  <c r="CZ80" i="24"/>
  <c r="DA80" i="24"/>
  <c r="DB80" i="24"/>
  <c r="DC80" i="24"/>
  <c r="DD80" i="24"/>
  <c r="DE80" i="24"/>
  <c r="DF80" i="24"/>
  <c r="DG80" i="24"/>
  <c r="DH80" i="24"/>
  <c r="DI80" i="24"/>
  <c r="DJ80" i="24"/>
  <c r="DK80" i="24"/>
  <c r="DL80" i="24"/>
  <c r="AI171" i="24"/>
  <c r="AL171" i="24"/>
  <c r="AP171" i="24"/>
  <c r="AS171" i="24"/>
  <c r="DM80" i="24"/>
  <c r="AJ172" i="24"/>
  <c r="BX264" i="24"/>
  <c r="CI81" i="24"/>
  <c r="AG172" i="24"/>
  <c r="AO172" i="24"/>
  <c r="AR172" i="24"/>
  <c r="AH172" i="24"/>
  <c r="AM172" i="24"/>
  <c r="AK172" i="24"/>
  <c r="AN172" i="24"/>
  <c r="AQ172" i="24"/>
  <c r="CQ81" i="24"/>
  <c r="CR81" i="24"/>
  <c r="CS81" i="24"/>
  <c r="CT81" i="24"/>
  <c r="CU81" i="24"/>
  <c r="CV81" i="24"/>
  <c r="CW81" i="24"/>
  <c r="CX81" i="24"/>
  <c r="CY81" i="24"/>
  <c r="CZ81" i="24"/>
  <c r="DA81" i="24"/>
  <c r="DB81" i="24"/>
  <c r="DC81" i="24"/>
  <c r="DD81" i="24"/>
  <c r="DE81" i="24"/>
  <c r="DF81" i="24"/>
  <c r="DG81" i="24"/>
  <c r="DH81" i="24"/>
  <c r="DI81" i="24"/>
  <c r="DJ81" i="24"/>
  <c r="DK81" i="24"/>
  <c r="DL81" i="24"/>
  <c r="AI172" i="24"/>
  <c r="AL172" i="24"/>
  <c r="AP172" i="24"/>
  <c r="AS172" i="24"/>
  <c r="DM81" i="24"/>
  <c r="AJ173" i="24"/>
  <c r="BX265" i="24"/>
  <c r="CI82" i="24"/>
  <c r="AG173" i="24"/>
  <c r="AO173" i="24"/>
  <c r="AR173" i="24"/>
  <c r="AH173" i="24"/>
  <c r="AM173" i="24"/>
  <c r="AK173" i="24"/>
  <c r="AN173" i="24"/>
  <c r="AQ173" i="24"/>
  <c r="CQ82" i="24"/>
  <c r="CR82" i="24"/>
  <c r="CS82" i="24"/>
  <c r="CT82" i="24"/>
  <c r="CU82" i="24"/>
  <c r="CV82" i="24"/>
  <c r="CW82" i="24"/>
  <c r="CX82" i="24"/>
  <c r="CY82" i="24"/>
  <c r="CZ82" i="24"/>
  <c r="DA82" i="24"/>
  <c r="DB82" i="24"/>
  <c r="DC82" i="24"/>
  <c r="DD82" i="24"/>
  <c r="DE82" i="24"/>
  <c r="DF82" i="24"/>
  <c r="DG82" i="24"/>
  <c r="DH82" i="24"/>
  <c r="DI82" i="24"/>
  <c r="DJ82" i="24"/>
  <c r="DK82" i="24"/>
  <c r="DL82" i="24"/>
  <c r="AI173" i="24"/>
  <c r="AL173" i="24"/>
  <c r="AP173" i="24"/>
  <c r="AS173" i="24"/>
  <c r="DM82" i="24"/>
  <c r="AJ174" i="24"/>
  <c r="BX266" i="24"/>
  <c r="CI83" i="24"/>
  <c r="AG174" i="24"/>
  <c r="AO174" i="24"/>
  <c r="AR174" i="24"/>
  <c r="AH174" i="24"/>
  <c r="AM174" i="24"/>
  <c r="AK174" i="24"/>
  <c r="AN174" i="24"/>
  <c r="AQ174" i="24"/>
  <c r="CQ83" i="24"/>
  <c r="CR83" i="24"/>
  <c r="CS83" i="24"/>
  <c r="CT83" i="24"/>
  <c r="CU83" i="24"/>
  <c r="CV83" i="24"/>
  <c r="CW83" i="24"/>
  <c r="CX83" i="24"/>
  <c r="CY83" i="24"/>
  <c r="CZ83" i="24"/>
  <c r="DA83" i="24"/>
  <c r="DB83" i="24"/>
  <c r="DC83" i="24"/>
  <c r="DD83" i="24"/>
  <c r="DE83" i="24"/>
  <c r="DF83" i="24"/>
  <c r="DG83" i="24"/>
  <c r="DH83" i="24"/>
  <c r="DI83" i="24"/>
  <c r="DJ83" i="24"/>
  <c r="DK83" i="24"/>
  <c r="DL83" i="24"/>
  <c r="AI174" i="24"/>
  <c r="AL174" i="24"/>
  <c r="AP174" i="24"/>
  <c r="AS174" i="24"/>
  <c r="DM83" i="24"/>
  <c r="AJ175" i="24"/>
  <c r="BX267" i="24"/>
  <c r="CI84" i="24"/>
  <c r="AG175" i="24"/>
  <c r="AO175" i="24"/>
  <c r="AR175" i="24"/>
  <c r="AH175" i="24"/>
  <c r="AM175" i="24"/>
  <c r="AK175" i="24"/>
  <c r="AN175" i="24"/>
  <c r="AQ175" i="24"/>
  <c r="CQ84" i="24"/>
  <c r="CR84" i="24"/>
  <c r="CS84" i="24"/>
  <c r="CT84" i="24"/>
  <c r="CU84" i="24"/>
  <c r="CV84" i="24"/>
  <c r="CW84" i="24"/>
  <c r="CX84" i="24"/>
  <c r="CY84" i="24"/>
  <c r="CZ84" i="24"/>
  <c r="DA84" i="24"/>
  <c r="DB84" i="24"/>
  <c r="DC84" i="24"/>
  <c r="DD84" i="24"/>
  <c r="DE84" i="24"/>
  <c r="DF84" i="24"/>
  <c r="DG84" i="24"/>
  <c r="DH84" i="24"/>
  <c r="DI84" i="24"/>
  <c r="DJ84" i="24"/>
  <c r="DK84" i="24"/>
  <c r="DL84" i="24"/>
  <c r="AI175" i="24"/>
  <c r="AL175" i="24"/>
  <c r="AP175" i="24"/>
  <c r="AS175" i="24"/>
  <c r="DM84" i="24"/>
  <c r="AJ176" i="24"/>
  <c r="BX268" i="24"/>
  <c r="CI85" i="24"/>
  <c r="AG176" i="24"/>
  <c r="AO176" i="24"/>
  <c r="AR176" i="24"/>
  <c r="AH176" i="24"/>
  <c r="AM176" i="24"/>
  <c r="AK176" i="24"/>
  <c r="AN176" i="24"/>
  <c r="AQ176" i="24"/>
  <c r="CQ85" i="24"/>
  <c r="CR85" i="24"/>
  <c r="CS85" i="24"/>
  <c r="CT85" i="24"/>
  <c r="CU85" i="24"/>
  <c r="CV85" i="24"/>
  <c r="CW85" i="24"/>
  <c r="CX85" i="24"/>
  <c r="CY85" i="24"/>
  <c r="CZ85" i="24"/>
  <c r="DA85" i="24"/>
  <c r="DB85" i="24"/>
  <c r="DC85" i="24"/>
  <c r="DD85" i="24"/>
  <c r="DE85" i="24"/>
  <c r="DF85" i="24"/>
  <c r="DG85" i="24"/>
  <c r="DH85" i="24"/>
  <c r="DI85" i="24"/>
  <c r="DJ85" i="24"/>
  <c r="DK85" i="24"/>
  <c r="DL85" i="24"/>
  <c r="AI176" i="24"/>
  <c r="AL176" i="24"/>
  <c r="AP176" i="24"/>
  <c r="AS176" i="24"/>
  <c r="DM85" i="24"/>
  <c r="AJ177" i="24"/>
  <c r="BX269" i="24"/>
  <c r="CI86" i="24"/>
  <c r="AG177" i="24"/>
  <c r="AO177" i="24"/>
  <c r="AR177" i="24"/>
  <c r="AH177" i="24"/>
  <c r="AM177" i="24"/>
  <c r="AK177" i="24"/>
  <c r="AN177" i="24"/>
  <c r="AQ177" i="24"/>
  <c r="CQ86" i="24"/>
  <c r="CR86" i="24"/>
  <c r="CS86" i="24"/>
  <c r="CT86" i="24"/>
  <c r="CU86" i="24"/>
  <c r="CV86" i="24"/>
  <c r="CW86" i="24"/>
  <c r="CX86" i="24"/>
  <c r="CY86" i="24"/>
  <c r="CZ86" i="24"/>
  <c r="DA86" i="24"/>
  <c r="DB86" i="24"/>
  <c r="DC86" i="24"/>
  <c r="DD86" i="24"/>
  <c r="DE86" i="24"/>
  <c r="DF86" i="24"/>
  <c r="DG86" i="24"/>
  <c r="DH86" i="24"/>
  <c r="DI86" i="24"/>
  <c r="DJ86" i="24"/>
  <c r="DK86" i="24"/>
  <c r="DL86" i="24"/>
  <c r="AI177" i="24"/>
  <c r="AL177" i="24"/>
  <c r="AP177" i="24"/>
  <c r="AS177" i="24"/>
  <c r="DM86" i="24"/>
  <c r="AJ178" i="24"/>
  <c r="BX270" i="24"/>
  <c r="CI87" i="24"/>
  <c r="AG178" i="24"/>
  <c r="AO178" i="24"/>
  <c r="AR178" i="24"/>
  <c r="AH178" i="24"/>
  <c r="AM178" i="24"/>
  <c r="AK178" i="24"/>
  <c r="AN178" i="24"/>
  <c r="AQ178" i="24"/>
  <c r="CQ87" i="24"/>
  <c r="CR87" i="24"/>
  <c r="CS87" i="24"/>
  <c r="CT87" i="24"/>
  <c r="CU87" i="24"/>
  <c r="CV87" i="24"/>
  <c r="CW87" i="24"/>
  <c r="CX87" i="24"/>
  <c r="CY87" i="24"/>
  <c r="CZ87" i="24"/>
  <c r="DA87" i="24"/>
  <c r="DB87" i="24"/>
  <c r="DC87" i="24"/>
  <c r="DD87" i="24"/>
  <c r="DE87" i="24"/>
  <c r="DF87" i="24"/>
  <c r="DG87" i="24"/>
  <c r="DH87" i="24"/>
  <c r="DI87" i="24"/>
  <c r="DJ87" i="24"/>
  <c r="DK87" i="24"/>
  <c r="DL87" i="24"/>
  <c r="AI178" i="24"/>
  <c r="AL178" i="24"/>
  <c r="AP178" i="24"/>
  <c r="AS178" i="24"/>
  <c r="DM87" i="24"/>
  <c r="AJ179" i="24"/>
  <c r="BX271" i="24"/>
  <c r="CI88" i="24"/>
  <c r="AG179" i="24"/>
  <c r="AO179" i="24"/>
  <c r="AR179" i="24"/>
  <c r="AH179" i="24"/>
  <c r="AM179" i="24"/>
  <c r="AK179" i="24"/>
  <c r="AN179" i="24"/>
  <c r="AQ179" i="24"/>
  <c r="CQ88" i="24"/>
  <c r="CR88" i="24"/>
  <c r="CS88" i="24"/>
  <c r="CT88" i="24"/>
  <c r="CU88" i="24"/>
  <c r="CV88" i="24"/>
  <c r="CW88" i="24"/>
  <c r="CX88" i="24"/>
  <c r="CY88" i="24"/>
  <c r="CZ88" i="24"/>
  <c r="DA88" i="24"/>
  <c r="DB88" i="24"/>
  <c r="DC88" i="24"/>
  <c r="DD88" i="24"/>
  <c r="DE88" i="24"/>
  <c r="DF88" i="24"/>
  <c r="DG88" i="24"/>
  <c r="DH88" i="24"/>
  <c r="DI88" i="24"/>
  <c r="DJ88" i="24"/>
  <c r="DK88" i="24"/>
  <c r="DL88" i="24"/>
  <c r="AI179" i="24"/>
  <c r="AL179" i="24"/>
  <c r="AP179" i="24"/>
  <c r="AS179" i="24"/>
  <c r="DM88" i="24"/>
  <c r="AJ180" i="24"/>
  <c r="BX272" i="24"/>
  <c r="CI89" i="24"/>
  <c r="AG180" i="24"/>
  <c r="AO180" i="24"/>
  <c r="AR180" i="24"/>
  <c r="AH180" i="24"/>
  <c r="AM180" i="24"/>
  <c r="AK180" i="24"/>
  <c r="AN180" i="24"/>
  <c r="AQ180" i="24"/>
  <c r="CQ89" i="24"/>
  <c r="CR89" i="24"/>
  <c r="CS89" i="24"/>
  <c r="CT89" i="24"/>
  <c r="CU89" i="24"/>
  <c r="CV89" i="24"/>
  <c r="CW89" i="24"/>
  <c r="CX89" i="24"/>
  <c r="CY89" i="24"/>
  <c r="CZ89" i="24"/>
  <c r="DA89" i="24"/>
  <c r="DB89" i="24"/>
  <c r="DC89" i="24"/>
  <c r="DD89" i="24"/>
  <c r="DE89" i="24"/>
  <c r="DF89" i="24"/>
  <c r="DG89" i="24"/>
  <c r="DH89" i="24"/>
  <c r="DI89" i="24"/>
  <c r="DJ89" i="24"/>
  <c r="DK89" i="24"/>
  <c r="DL89" i="24"/>
  <c r="AI180" i="24"/>
  <c r="AL180" i="24"/>
  <c r="AP180" i="24"/>
  <c r="AS180" i="24"/>
  <c r="DM89" i="24"/>
  <c r="AJ181" i="24"/>
  <c r="BX273" i="24"/>
  <c r="CI90" i="24"/>
  <c r="AG181" i="24"/>
  <c r="AO181" i="24"/>
  <c r="AR181" i="24"/>
  <c r="AH181" i="24"/>
  <c r="AM181" i="24"/>
  <c r="AK181" i="24"/>
  <c r="AN181" i="24"/>
  <c r="AQ181" i="24"/>
  <c r="CQ90" i="24"/>
  <c r="CR90" i="24"/>
  <c r="CS90" i="24"/>
  <c r="CT90" i="24"/>
  <c r="CU90" i="24"/>
  <c r="CV90" i="24"/>
  <c r="CW90" i="24"/>
  <c r="CX90" i="24"/>
  <c r="CY90" i="24"/>
  <c r="CZ90" i="24"/>
  <c r="DA90" i="24"/>
  <c r="DB90" i="24"/>
  <c r="DC90" i="24"/>
  <c r="DD90" i="24"/>
  <c r="DE90" i="24"/>
  <c r="DF90" i="24"/>
  <c r="DG90" i="24"/>
  <c r="DH90" i="24"/>
  <c r="DI90" i="24"/>
  <c r="DJ90" i="24"/>
  <c r="DK90" i="24"/>
  <c r="DL90" i="24"/>
  <c r="AI181" i="24"/>
  <c r="AL181" i="24"/>
  <c r="AP181" i="24"/>
  <c r="AS181" i="24"/>
  <c r="DM90" i="24"/>
  <c r="AJ182" i="24"/>
  <c r="BX274" i="24"/>
  <c r="CI91" i="24"/>
  <c r="AG182" i="24"/>
  <c r="AO182" i="24"/>
  <c r="AR182" i="24"/>
  <c r="AH182" i="24"/>
  <c r="AM182" i="24"/>
  <c r="AK182" i="24"/>
  <c r="AN182" i="24"/>
  <c r="AQ182" i="24"/>
  <c r="CQ91" i="24"/>
  <c r="CR91" i="24"/>
  <c r="CS91" i="24"/>
  <c r="CT91" i="24"/>
  <c r="CU91" i="24"/>
  <c r="CV91" i="24"/>
  <c r="CW91" i="24"/>
  <c r="CX91" i="24"/>
  <c r="CY91" i="24"/>
  <c r="CZ91" i="24"/>
  <c r="DA91" i="24"/>
  <c r="DB91" i="24"/>
  <c r="DC91" i="24"/>
  <c r="DD91" i="24"/>
  <c r="DE91" i="24"/>
  <c r="DF91" i="24"/>
  <c r="DG91" i="24"/>
  <c r="DH91" i="24"/>
  <c r="DI91" i="24"/>
  <c r="DJ91" i="24"/>
  <c r="DK91" i="24"/>
  <c r="DL91" i="24"/>
  <c r="AI182" i="24"/>
  <c r="AL182" i="24"/>
  <c r="AP182" i="24"/>
  <c r="AS182" i="24"/>
  <c r="DM91" i="24"/>
  <c r="AJ183" i="24"/>
  <c r="BX275" i="24"/>
  <c r="CI92" i="24"/>
  <c r="AG183" i="24"/>
  <c r="AO183" i="24"/>
  <c r="AR183" i="24"/>
  <c r="AH183" i="24"/>
  <c r="AM183" i="24"/>
  <c r="AK183" i="24"/>
  <c r="AN183" i="24"/>
  <c r="AQ183" i="24"/>
  <c r="CQ92" i="24"/>
  <c r="CR92" i="24"/>
  <c r="CS92" i="24"/>
  <c r="CT92" i="24"/>
  <c r="CU92" i="24"/>
  <c r="CV92" i="24"/>
  <c r="CW92" i="24"/>
  <c r="CX92" i="24"/>
  <c r="CY92" i="24"/>
  <c r="CZ92" i="24"/>
  <c r="DA92" i="24"/>
  <c r="DB92" i="24"/>
  <c r="DC92" i="24"/>
  <c r="DD92" i="24"/>
  <c r="DE92" i="24"/>
  <c r="DF92" i="24"/>
  <c r="DG92" i="24"/>
  <c r="DH92" i="24"/>
  <c r="DI92" i="24"/>
  <c r="DJ92" i="24"/>
  <c r="DK92" i="24"/>
  <c r="DL92" i="24"/>
  <c r="AI183" i="24"/>
  <c r="AL183" i="24"/>
  <c r="AP183" i="24"/>
  <c r="AS183" i="24"/>
  <c r="DM92" i="24"/>
  <c r="AJ184" i="24"/>
  <c r="BX276" i="24"/>
  <c r="CI93" i="24"/>
  <c r="AG184" i="24"/>
  <c r="AO184" i="24"/>
  <c r="AR184" i="24"/>
  <c r="AH184" i="24"/>
  <c r="AM184" i="24"/>
  <c r="AK184" i="24"/>
  <c r="AN184" i="24"/>
  <c r="AQ184" i="24"/>
  <c r="CQ93" i="24"/>
  <c r="CR93" i="24"/>
  <c r="CS93" i="24"/>
  <c r="CT93" i="24"/>
  <c r="CU93" i="24"/>
  <c r="CV93" i="24"/>
  <c r="CW93" i="24"/>
  <c r="CX93" i="24"/>
  <c r="CY93" i="24"/>
  <c r="CZ93" i="24"/>
  <c r="DA93" i="24"/>
  <c r="DB93" i="24"/>
  <c r="DC93" i="24"/>
  <c r="DD93" i="24"/>
  <c r="DE93" i="24"/>
  <c r="DF93" i="24"/>
  <c r="DG93" i="24"/>
  <c r="DH93" i="24"/>
  <c r="DI93" i="24"/>
  <c r="DJ93" i="24"/>
  <c r="DK93" i="24"/>
  <c r="DL93" i="24"/>
  <c r="AI184" i="24"/>
  <c r="AL184" i="24"/>
  <c r="AP184" i="24"/>
  <c r="AS184" i="24"/>
  <c r="DM93" i="24"/>
  <c r="AJ185" i="24"/>
  <c r="BX277" i="24"/>
  <c r="CI94" i="24"/>
  <c r="AG185" i="24"/>
  <c r="AO185" i="24"/>
  <c r="AR185" i="24"/>
  <c r="AH185" i="24"/>
  <c r="AM185" i="24"/>
  <c r="AK185" i="24"/>
  <c r="AN185" i="24"/>
  <c r="AQ185" i="24"/>
  <c r="CQ94" i="24"/>
  <c r="CR94" i="24"/>
  <c r="CS94" i="24"/>
  <c r="CT94" i="24"/>
  <c r="CU94" i="24"/>
  <c r="CV94" i="24"/>
  <c r="CW94" i="24"/>
  <c r="CX94" i="24"/>
  <c r="CY94" i="24"/>
  <c r="CZ94" i="24"/>
  <c r="DA94" i="24"/>
  <c r="DB94" i="24"/>
  <c r="DC94" i="24"/>
  <c r="DD94" i="24"/>
  <c r="DE94" i="24"/>
  <c r="DF94" i="24"/>
  <c r="DG94" i="24"/>
  <c r="DH94" i="24"/>
  <c r="DI94" i="24"/>
  <c r="DJ94" i="24"/>
  <c r="DK94" i="24"/>
  <c r="DL94" i="24"/>
  <c r="AI185" i="24"/>
  <c r="AL185" i="24"/>
  <c r="AP185" i="24"/>
  <c r="AS185" i="24"/>
  <c r="DM94" i="24"/>
  <c r="AJ186" i="24"/>
  <c r="BX278" i="24"/>
  <c r="CI95" i="24"/>
  <c r="AG186" i="24"/>
  <c r="AO186" i="24"/>
  <c r="AR186" i="24"/>
  <c r="AH186" i="24"/>
  <c r="AM186" i="24"/>
  <c r="AK186" i="24"/>
  <c r="AN186" i="24"/>
  <c r="AQ186" i="24"/>
  <c r="CQ95" i="24"/>
  <c r="CR95" i="24"/>
  <c r="CS95" i="24"/>
  <c r="CT95" i="24"/>
  <c r="CU95" i="24"/>
  <c r="CV95" i="24"/>
  <c r="CW95" i="24"/>
  <c r="CX95" i="24"/>
  <c r="CY95" i="24"/>
  <c r="CZ95" i="24"/>
  <c r="DA95" i="24"/>
  <c r="DB95" i="24"/>
  <c r="DC95" i="24"/>
  <c r="DD95" i="24"/>
  <c r="DE95" i="24"/>
  <c r="DF95" i="24"/>
  <c r="DG95" i="24"/>
  <c r="DH95" i="24"/>
  <c r="DI95" i="24"/>
  <c r="DJ95" i="24"/>
  <c r="DK95" i="24"/>
  <c r="DL95" i="24"/>
  <c r="AI186" i="24"/>
  <c r="AL186" i="24"/>
  <c r="AP186" i="24"/>
  <c r="AS186" i="24"/>
  <c r="DM95" i="24"/>
  <c r="AJ187" i="24"/>
  <c r="BX279" i="24"/>
  <c r="CI96" i="24"/>
  <c r="AG187" i="24"/>
  <c r="AO187" i="24"/>
  <c r="AR187" i="24"/>
  <c r="AH187" i="24"/>
  <c r="AM187" i="24"/>
  <c r="AK187" i="24"/>
  <c r="AN187" i="24"/>
  <c r="AQ187" i="24"/>
  <c r="CQ96" i="24"/>
  <c r="CR96" i="24"/>
  <c r="CS96" i="24"/>
  <c r="CT96" i="24"/>
  <c r="CU96" i="24"/>
  <c r="CV96" i="24"/>
  <c r="CW96" i="24"/>
  <c r="CX96" i="24"/>
  <c r="CY96" i="24"/>
  <c r="CZ96" i="24"/>
  <c r="DA96" i="24"/>
  <c r="DB96" i="24"/>
  <c r="DC96" i="24"/>
  <c r="DD96" i="24"/>
  <c r="DE96" i="24"/>
  <c r="DF96" i="24"/>
  <c r="DG96" i="24"/>
  <c r="DH96" i="24"/>
  <c r="DI96" i="24"/>
  <c r="DJ96" i="24"/>
  <c r="DK96" i="24"/>
  <c r="DL96" i="24"/>
  <c r="AI187" i="24"/>
  <c r="AL187" i="24"/>
  <c r="AP187" i="24"/>
  <c r="AS187" i="24"/>
  <c r="DM96" i="24"/>
  <c r="AJ188" i="24"/>
  <c r="BX280" i="24"/>
  <c r="CI97" i="24"/>
  <c r="AG188" i="24"/>
  <c r="AO188" i="24"/>
  <c r="AR188" i="24"/>
  <c r="AH188" i="24"/>
  <c r="AM188" i="24"/>
  <c r="AK188" i="24"/>
  <c r="AN188" i="24"/>
  <c r="AQ188" i="24"/>
  <c r="CQ97" i="24"/>
  <c r="CR97" i="24"/>
  <c r="CS97" i="24"/>
  <c r="CT97" i="24"/>
  <c r="CU97" i="24"/>
  <c r="CV97" i="24"/>
  <c r="CW97" i="24"/>
  <c r="CX97" i="24"/>
  <c r="CY97" i="24"/>
  <c r="CZ97" i="24"/>
  <c r="DA97" i="24"/>
  <c r="DB97" i="24"/>
  <c r="DC97" i="24"/>
  <c r="DD97" i="24"/>
  <c r="DE97" i="24"/>
  <c r="DF97" i="24"/>
  <c r="DG97" i="24"/>
  <c r="DH97" i="24"/>
  <c r="DI97" i="24"/>
  <c r="DJ97" i="24"/>
  <c r="DK97" i="24"/>
  <c r="DL97" i="24"/>
  <c r="AI188" i="24"/>
  <c r="AL188" i="24"/>
  <c r="AP188" i="24"/>
  <c r="AS188" i="24"/>
  <c r="DM97" i="24"/>
  <c r="AM14" i="24"/>
  <c r="AN14" i="24"/>
  <c r="AO14" i="24"/>
  <c r="AP14" i="24"/>
  <c r="AN5" i="24"/>
  <c r="AY14" i="24"/>
  <c r="AZ14" i="24"/>
  <c r="BC14" i="24"/>
  <c r="AQ14" i="24"/>
  <c r="BB14" i="24"/>
  <c r="BA14" i="24"/>
  <c r="BE14" i="24"/>
  <c r="AY15" i="24"/>
  <c r="AZ15" i="24"/>
  <c r="BC15" i="24"/>
  <c r="AQ15" i="24"/>
  <c r="BB15" i="24"/>
  <c r="BA15" i="24"/>
  <c r="BE15" i="24"/>
  <c r="AM16" i="24"/>
  <c r="AN16" i="24"/>
  <c r="AO16" i="24"/>
  <c r="AP16" i="24"/>
  <c r="AY16" i="24"/>
  <c r="AZ16" i="24"/>
  <c r="BC16" i="24"/>
  <c r="AQ16" i="24"/>
  <c r="BB16" i="24"/>
  <c r="BA16" i="24"/>
  <c r="BE16" i="24"/>
  <c r="AM17" i="24"/>
  <c r="AN17" i="24"/>
  <c r="AO17" i="24"/>
  <c r="AP17" i="24"/>
  <c r="AY17" i="24"/>
  <c r="AZ17" i="24"/>
  <c r="BC17" i="24"/>
  <c r="AQ17" i="24"/>
  <c r="BB17" i="24"/>
  <c r="BA17" i="24"/>
  <c r="BE17" i="24"/>
  <c r="AM18" i="24"/>
  <c r="AN18" i="24"/>
  <c r="AO18" i="24"/>
  <c r="AP18" i="24"/>
  <c r="AY18" i="24"/>
  <c r="AZ18" i="24"/>
  <c r="BC18" i="24"/>
  <c r="AQ18" i="24"/>
  <c r="BB18" i="24"/>
  <c r="BA18" i="24"/>
  <c r="BE18" i="24"/>
  <c r="AY19" i="24"/>
  <c r="AZ19" i="24"/>
  <c r="BC19" i="24"/>
  <c r="AQ19" i="24"/>
  <c r="BB19" i="24"/>
  <c r="BA19" i="24"/>
  <c r="BE19" i="24"/>
  <c r="AM20" i="24"/>
  <c r="AN20" i="24"/>
  <c r="AO20" i="24"/>
  <c r="AP20" i="24"/>
  <c r="AY20" i="24"/>
  <c r="AZ20" i="24"/>
  <c r="BC20" i="24"/>
  <c r="AQ20" i="24"/>
  <c r="BB20" i="24"/>
  <c r="BA20" i="24"/>
  <c r="BE20" i="24"/>
  <c r="AM21" i="24"/>
  <c r="AN21" i="24"/>
  <c r="AO21" i="24"/>
  <c r="AP21" i="24"/>
  <c r="AY21" i="24"/>
  <c r="AZ21" i="24"/>
  <c r="BC21" i="24"/>
  <c r="AQ21" i="24"/>
  <c r="BB21" i="24"/>
  <c r="BA21" i="24"/>
  <c r="BE21" i="24"/>
  <c r="AM22" i="24"/>
  <c r="AN22" i="24"/>
  <c r="AO22" i="24"/>
  <c r="AP22" i="24"/>
  <c r="AY22" i="24"/>
  <c r="AZ22" i="24"/>
  <c r="BC22" i="24"/>
  <c r="AQ22" i="24"/>
  <c r="BB22" i="24"/>
  <c r="BA22" i="24"/>
  <c r="BE22" i="24"/>
  <c r="AY23" i="24"/>
  <c r="AZ23" i="24"/>
  <c r="BC23" i="24"/>
  <c r="AQ23" i="24"/>
  <c r="BB23" i="24"/>
  <c r="BA23" i="24"/>
  <c r="BE23" i="24"/>
  <c r="AM24" i="24"/>
  <c r="AN24" i="24"/>
  <c r="AO24" i="24"/>
  <c r="AP24" i="24"/>
  <c r="AY24" i="24"/>
  <c r="AZ24" i="24"/>
  <c r="BC24" i="24"/>
  <c r="AQ24" i="24"/>
  <c r="BB24" i="24"/>
  <c r="BA24" i="24"/>
  <c r="BE24" i="24"/>
  <c r="AM25" i="24"/>
  <c r="AN25" i="24"/>
  <c r="AO25" i="24"/>
  <c r="AP25" i="24"/>
  <c r="AY25" i="24"/>
  <c r="AZ25" i="24"/>
  <c r="BC25" i="24"/>
  <c r="AQ25" i="24"/>
  <c r="BB25" i="24"/>
  <c r="BA25" i="24"/>
  <c r="BE25" i="24"/>
  <c r="AM26" i="24"/>
  <c r="AN26" i="24"/>
  <c r="AO26" i="24"/>
  <c r="AP26" i="24"/>
  <c r="AY26" i="24"/>
  <c r="AZ26" i="24"/>
  <c r="BC26" i="24"/>
  <c r="AQ26" i="24"/>
  <c r="BB26" i="24"/>
  <c r="BA26" i="24"/>
  <c r="BE26" i="24"/>
  <c r="AM27" i="24"/>
  <c r="AN27" i="24"/>
  <c r="AO27" i="24"/>
  <c r="AP27" i="24"/>
  <c r="AY27" i="24"/>
  <c r="AZ27" i="24"/>
  <c r="BC27" i="24"/>
  <c r="AQ27" i="24"/>
  <c r="BB27" i="24"/>
  <c r="BA27" i="24"/>
  <c r="BE27" i="24"/>
  <c r="AM28" i="24"/>
  <c r="AN28" i="24"/>
  <c r="AO28" i="24"/>
  <c r="AP28" i="24"/>
  <c r="AY28" i="24"/>
  <c r="AZ28" i="24"/>
  <c r="BC28" i="24"/>
  <c r="AQ28" i="24"/>
  <c r="BB28" i="24"/>
  <c r="BA28" i="24"/>
  <c r="BE28" i="24"/>
  <c r="AM29" i="24"/>
  <c r="AN29" i="24"/>
  <c r="AO29" i="24"/>
  <c r="AP29" i="24"/>
  <c r="AY29" i="24"/>
  <c r="AZ29" i="24"/>
  <c r="BC29" i="24"/>
  <c r="AQ29" i="24"/>
  <c r="BB29" i="24"/>
  <c r="BA29" i="24"/>
  <c r="BE29" i="24"/>
  <c r="AM30" i="24"/>
  <c r="AN30" i="24"/>
  <c r="AO30" i="24"/>
  <c r="AP30" i="24"/>
  <c r="AY30" i="24"/>
  <c r="AZ30" i="24"/>
  <c r="BC30" i="24"/>
  <c r="AQ30" i="24"/>
  <c r="BB30" i="24"/>
  <c r="BA30" i="24"/>
  <c r="BE30" i="24"/>
  <c r="AM31" i="24"/>
  <c r="AN31" i="24"/>
  <c r="AO31" i="24"/>
  <c r="AP31" i="24"/>
  <c r="AY31" i="24"/>
  <c r="AZ31" i="24"/>
  <c r="BC31" i="24"/>
  <c r="AQ31" i="24"/>
  <c r="BB31" i="24"/>
  <c r="BA31" i="24"/>
  <c r="BE31" i="24"/>
  <c r="AM32" i="24"/>
  <c r="AN32" i="24"/>
  <c r="AO32" i="24"/>
  <c r="AP32" i="24"/>
  <c r="AY32" i="24"/>
  <c r="AZ32" i="24"/>
  <c r="BC32" i="24"/>
  <c r="AQ32" i="24"/>
  <c r="BB32" i="24"/>
  <c r="BA32" i="24"/>
  <c r="BE32" i="24"/>
  <c r="AM33" i="24"/>
  <c r="AN33" i="24"/>
  <c r="AO33" i="24"/>
  <c r="AP33" i="24"/>
  <c r="AY33" i="24"/>
  <c r="AZ33" i="24"/>
  <c r="BC33" i="24"/>
  <c r="AQ33" i="24"/>
  <c r="BB33" i="24"/>
  <c r="BA33" i="24"/>
  <c r="BE33" i="24"/>
  <c r="AY34" i="24"/>
  <c r="AZ34" i="24"/>
  <c r="BC34" i="24"/>
  <c r="AQ34" i="24"/>
  <c r="BB34" i="24"/>
  <c r="BA34" i="24"/>
  <c r="BE34" i="24"/>
  <c r="AY35" i="24"/>
  <c r="AZ35" i="24"/>
  <c r="BC35" i="24"/>
  <c r="AQ35" i="24"/>
  <c r="BB35" i="24"/>
  <c r="BA35" i="24"/>
  <c r="BE35" i="24"/>
  <c r="AY36" i="24"/>
  <c r="AZ36" i="24"/>
  <c r="BC36" i="24"/>
  <c r="AQ36" i="24"/>
  <c r="BB36" i="24"/>
  <c r="BA36" i="24"/>
  <c r="BE36" i="24"/>
  <c r="AY37" i="24"/>
  <c r="AZ37" i="24"/>
  <c r="BC37" i="24"/>
  <c r="AQ37" i="24"/>
  <c r="BB37" i="24"/>
  <c r="BA37" i="24"/>
  <c r="BE37" i="24"/>
  <c r="AY38" i="24"/>
  <c r="AZ38" i="24"/>
  <c r="BC38" i="24"/>
  <c r="AQ38" i="24"/>
  <c r="BB38" i="24"/>
  <c r="BA38" i="24"/>
  <c r="BE38" i="24"/>
  <c r="AM39" i="24"/>
  <c r="AN39" i="24"/>
  <c r="AO39" i="24"/>
  <c r="AP39" i="24"/>
  <c r="AY39" i="24"/>
  <c r="AZ39" i="24"/>
  <c r="BC39" i="24"/>
  <c r="AQ39" i="24"/>
  <c r="BB39" i="24"/>
  <c r="BA39" i="24"/>
  <c r="BE39" i="24"/>
  <c r="AM40" i="24"/>
  <c r="AN40" i="24"/>
  <c r="AO40" i="24"/>
  <c r="AP40" i="24"/>
  <c r="AY40" i="24"/>
  <c r="AZ40" i="24"/>
  <c r="BC40" i="24"/>
  <c r="AQ40" i="24"/>
  <c r="BB40" i="24"/>
  <c r="BA40" i="24"/>
  <c r="BE40" i="24"/>
  <c r="AM41" i="24"/>
  <c r="AN41" i="24"/>
  <c r="AO41" i="24"/>
  <c r="AP41" i="24"/>
  <c r="AY41" i="24"/>
  <c r="AZ41" i="24"/>
  <c r="BC41" i="24"/>
  <c r="AQ41" i="24"/>
  <c r="BB41" i="24"/>
  <c r="BA41" i="24"/>
  <c r="BE41" i="24"/>
  <c r="AY42" i="24"/>
  <c r="AZ42" i="24"/>
  <c r="BC42" i="24"/>
  <c r="AQ42" i="24"/>
  <c r="BB42" i="24"/>
  <c r="BA42" i="24"/>
  <c r="BE42" i="24"/>
  <c r="AM43" i="24"/>
  <c r="AN43" i="24"/>
  <c r="AO43" i="24"/>
  <c r="AP43" i="24"/>
  <c r="AY43" i="24"/>
  <c r="AZ43" i="24"/>
  <c r="BC43" i="24"/>
  <c r="AQ43" i="24"/>
  <c r="BB43" i="24"/>
  <c r="BA43" i="24"/>
  <c r="BE43" i="24"/>
  <c r="AM44" i="24"/>
  <c r="AN44" i="24"/>
  <c r="AO44" i="24"/>
  <c r="AP44" i="24"/>
  <c r="AY44" i="24"/>
  <c r="AZ44" i="24"/>
  <c r="BC44" i="24"/>
  <c r="AQ44" i="24"/>
  <c r="BB44" i="24"/>
  <c r="BA44" i="24"/>
  <c r="BE44" i="24"/>
  <c r="AM45" i="24"/>
  <c r="AN45" i="24"/>
  <c r="AO45" i="24"/>
  <c r="AP45" i="24"/>
  <c r="AY45" i="24"/>
  <c r="AZ45" i="24"/>
  <c r="BC45" i="24"/>
  <c r="AQ45" i="24"/>
  <c r="BB45" i="24"/>
  <c r="BA45" i="24"/>
  <c r="BE45" i="24"/>
  <c r="AY46" i="24"/>
  <c r="AZ46" i="24"/>
  <c r="BC46" i="24"/>
  <c r="AQ46" i="24"/>
  <c r="BB46" i="24"/>
  <c r="BA46" i="24"/>
  <c r="BE46" i="24"/>
  <c r="AM47" i="24"/>
  <c r="AN47" i="24"/>
  <c r="AO47" i="24"/>
  <c r="AP47" i="24"/>
  <c r="AY47" i="24"/>
  <c r="AZ47" i="24"/>
  <c r="BC47" i="24"/>
  <c r="AQ47" i="24"/>
  <c r="BB47" i="24"/>
  <c r="BA47" i="24"/>
  <c r="BE47" i="24"/>
  <c r="AM48" i="24"/>
  <c r="AN48" i="24"/>
  <c r="AO48" i="24"/>
  <c r="AP48" i="24"/>
  <c r="AY48" i="24"/>
  <c r="AZ48" i="24"/>
  <c r="BC48" i="24"/>
  <c r="AQ48" i="24"/>
  <c r="BB48" i="24"/>
  <c r="BA48" i="24"/>
  <c r="BE48" i="24"/>
  <c r="AM49" i="24"/>
  <c r="AN49" i="24"/>
  <c r="AO49" i="24"/>
  <c r="AP49" i="24"/>
  <c r="AY49" i="24"/>
  <c r="AZ49" i="24"/>
  <c r="BC49" i="24"/>
  <c r="AQ49" i="24"/>
  <c r="BB49" i="24"/>
  <c r="BA49" i="24"/>
  <c r="BE49" i="24"/>
  <c r="AY50" i="24"/>
  <c r="AZ50" i="24"/>
  <c r="BC50" i="24"/>
  <c r="AQ50" i="24"/>
  <c r="BB50" i="24"/>
  <c r="BA50" i="24"/>
  <c r="BE50" i="24"/>
  <c r="AM51" i="24"/>
  <c r="AN51" i="24"/>
  <c r="AO51" i="24"/>
  <c r="AP51" i="24"/>
  <c r="AY51" i="24"/>
  <c r="AZ51" i="24"/>
  <c r="BC51" i="24"/>
  <c r="AQ51" i="24"/>
  <c r="BB51" i="24"/>
  <c r="BA51" i="24"/>
  <c r="BE51" i="24"/>
  <c r="AM52" i="24"/>
  <c r="AN52" i="24"/>
  <c r="AO52" i="24"/>
  <c r="AP52" i="24"/>
  <c r="AY52" i="24"/>
  <c r="AZ52" i="24"/>
  <c r="BC52" i="24"/>
  <c r="AQ52" i="24"/>
  <c r="BB52" i="24"/>
  <c r="BA52" i="24"/>
  <c r="BE52" i="24"/>
  <c r="AM53" i="24"/>
  <c r="AN53" i="24"/>
  <c r="AO53" i="24"/>
  <c r="AP53" i="24"/>
  <c r="AY53" i="24"/>
  <c r="AZ53" i="24"/>
  <c r="BC53" i="24"/>
  <c r="AQ53" i="24"/>
  <c r="BB53" i="24"/>
  <c r="BA53" i="24"/>
  <c r="BE53" i="24"/>
  <c r="AM54" i="24"/>
  <c r="AN54" i="24"/>
  <c r="AO54" i="24"/>
  <c r="AP54" i="24"/>
  <c r="AY54" i="24"/>
  <c r="AZ54" i="24"/>
  <c r="BC54" i="24"/>
  <c r="AQ54" i="24"/>
  <c r="BB54" i="24"/>
  <c r="BA54" i="24"/>
  <c r="BE54" i="24"/>
  <c r="AM55" i="24"/>
  <c r="AN55" i="24"/>
  <c r="AO55" i="24"/>
  <c r="AP55" i="24"/>
  <c r="AY55" i="24"/>
  <c r="AZ55" i="24"/>
  <c r="BC55" i="24"/>
  <c r="AQ55" i="24"/>
  <c r="BB55" i="24"/>
  <c r="BA55" i="24"/>
  <c r="BE55" i="24"/>
  <c r="AM56" i="24"/>
  <c r="AN56" i="24"/>
  <c r="AO56" i="24"/>
  <c r="AP56" i="24"/>
  <c r="AY56" i="24"/>
  <c r="AZ56" i="24"/>
  <c r="BC56" i="24"/>
  <c r="AQ56" i="24"/>
  <c r="BB56" i="24"/>
  <c r="BA56" i="24"/>
  <c r="BE56" i="24"/>
  <c r="AM57" i="24"/>
  <c r="AN57" i="24"/>
  <c r="AO57" i="24"/>
  <c r="AP57" i="24"/>
  <c r="AY57" i="24"/>
  <c r="AZ57" i="24"/>
  <c r="BC57" i="24"/>
  <c r="AQ57" i="24"/>
  <c r="BB57" i="24"/>
  <c r="BA57" i="24"/>
  <c r="BE57" i="24"/>
  <c r="AM58" i="24"/>
  <c r="AN58" i="24"/>
  <c r="AO58" i="24"/>
  <c r="AP58" i="24"/>
  <c r="AY58" i="24"/>
  <c r="AZ58" i="24"/>
  <c r="BC58" i="24"/>
  <c r="AQ58" i="24"/>
  <c r="BB58" i="24"/>
  <c r="BA58" i="24"/>
  <c r="BE58" i="24"/>
  <c r="AM59" i="24"/>
  <c r="AN59" i="24"/>
  <c r="AO59" i="24"/>
  <c r="AP59" i="24"/>
  <c r="AY59" i="24"/>
  <c r="AZ59" i="24"/>
  <c r="BC59" i="24"/>
  <c r="AQ59" i="24"/>
  <c r="BB59" i="24"/>
  <c r="BA59" i="24"/>
  <c r="BE59" i="24"/>
  <c r="AM60" i="24"/>
  <c r="AN60" i="24"/>
  <c r="AO60" i="24"/>
  <c r="AP60" i="24"/>
  <c r="AY60" i="24"/>
  <c r="AZ60" i="24"/>
  <c r="BC60" i="24"/>
  <c r="AQ60" i="24"/>
  <c r="BB60" i="24"/>
  <c r="BA60" i="24"/>
  <c r="BE60" i="24"/>
  <c r="AP61" i="24"/>
  <c r="AY61" i="24"/>
  <c r="AZ61" i="24"/>
  <c r="BC61" i="24"/>
  <c r="AQ61" i="24"/>
  <c r="BB61" i="24"/>
  <c r="BA61" i="24"/>
  <c r="BE61" i="24"/>
  <c r="AM62" i="24"/>
  <c r="AN62" i="24"/>
  <c r="AO62" i="24"/>
  <c r="AP62" i="24"/>
  <c r="AY62" i="24"/>
  <c r="AZ62" i="24"/>
  <c r="BC62" i="24"/>
  <c r="AQ62" i="24"/>
  <c r="BB62" i="24"/>
  <c r="BA62" i="24"/>
  <c r="BE62" i="24"/>
  <c r="AM63" i="24"/>
  <c r="AN63" i="24"/>
  <c r="AO63" i="24"/>
  <c r="AP63" i="24"/>
  <c r="AY63" i="24"/>
  <c r="AZ63" i="24"/>
  <c r="BC63" i="24"/>
  <c r="AQ63" i="24"/>
  <c r="BB63" i="24"/>
  <c r="BA63" i="24"/>
  <c r="BE63" i="24"/>
  <c r="AP64" i="24"/>
  <c r="AY64" i="24"/>
  <c r="AZ64" i="24"/>
  <c r="BC64" i="24"/>
  <c r="AQ64" i="24"/>
  <c r="BB64" i="24"/>
  <c r="BA64" i="24"/>
  <c r="BE64" i="24"/>
  <c r="AM65" i="24"/>
  <c r="AN65" i="24"/>
  <c r="AO65" i="24"/>
  <c r="AP65" i="24"/>
  <c r="AY65" i="24"/>
  <c r="AZ65" i="24"/>
  <c r="BC65" i="24"/>
  <c r="AQ65" i="24"/>
  <c r="BB65" i="24"/>
  <c r="BA65" i="24"/>
  <c r="BE65" i="24"/>
  <c r="AM66" i="24"/>
  <c r="AN66" i="24"/>
  <c r="AO66" i="24"/>
  <c r="AP66" i="24"/>
  <c r="AY66" i="24"/>
  <c r="AZ66" i="24"/>
  <c r="BC66" i="24"/>
  <c r="AQ66" i="24"/>
  <c r="BB66" i="24"/>
  <c r="BA66" i="24"/>
  <c r="BE66" i="24"/>
  <c r="AM67" i="24"/>
  <c r="AN67" i="24"/>
  <c r="AO67" i="24"/>
  <c r="AP67" i="24"/>
  <c r="AY67" i="24"/>
  <c r="AZ67" i="24"/>
  <c r="BC67" i="24"/>
  <c r="AQ67" i="24"/>
  <c r="BB67" i="24"/>
  <c r="BA67" i="24"/>
  <c r="BE67" i="24"/>
  <c r="AM68" i="24"/>
  <c r="AN68" i="24"/>
  <c r="AO68" i="24"/>
  <c r="AP68" i="24"/>
  <c r="AY68" i="24"/>
  <c r="AZ68" i="24"/>
  <c r="BC68" i="24"/>
  <c r="AQ68" i="24"/>
  <c r="BB68" i="24"/>
  <c r="BA68" i="24"/>
  <c r="BE68" i="24"/>
  <c r="AM69" i="24"/>
  <c r="AN69" i="24"/>
  <c r="AO69" i="24"/>
  <c r="AP69" i="24"/>
  <c r="AY69" i="24"/>
  <c r="AZ69" i="24"/>
  <c r="BC69" i="24"/>
  <c r="AQ69" i="24"/>
  <c r="BB69" i="24"/>
  <c r="BA69" i="24"/>
  <c r="BE69" i="24"/>
  <c r="AM70" i="24"/>
  <c r="AN70" i="24"/>
  <c r="AO70" i="24"/>
  <c r="AP70" i="24"/>
  <c r="AY70" i="24"/>
  <c r="AZ70" i="24"/>
  <c r="BC70" i="24"/>
  <c r="AQ70" i="24"/>
  <c r="BB70" i="24"/>
  <c r="BA70" i="24"/>
  <c r="BE70" i="24"/>
  <c r="AM71" i="24"/>
  <c r="AN71" i="24"/>
  <c r="AO71" i="24"/>
  <c r="AP71" i="24"/>
  <c r="AY71" i="24"/>
  <c r="AZ71" i="24"/>
  <c r="BC71" i="24"/>
  <c r="AQ71" i="24"/>
  <c r="BB71" i="24"/>
  <c r="BA71" i="24"/>
  <c r="BE71" i="24"/>
  <c r="AM72" i="24"/>
  <c r="AN72" i="24"/>
  <c r="AO72" i="24"/>
  <c r="AP72" i="24"/>
  <c r="AY72" i="24"/>
  <c r="AZ72" i="24"/>
  <c r="BC72" i="24"/>
  <c r="AQ72" i="24"/>
  <c r="BB72" i="24"/>
  <c r="BA72" i="24"/>
  <c r="BE72" i="24"/>
  <c r="AM73" i="24"/>
  <c r="AN73" i="24"/>
  <c r="AO73" i="24"/>
  <c r="AP73" i="24"/>
  <c r="AY73" i="24"/>
  <c r="AZ73" i="24"/>
  <c r="BC73" i="24"/>
  <c r="AQ73" i="24"/>
  <c r="BB73" i="24"/>
  <c r="BA73" i="24"/>
  <c r="BE73" i="24"/>
  <c r="AM74" i="24"/>
  <c r="AN74" i="24"/>
  <c r="AO74" i="24"/>
  <c r="AP74" i="24"/>
  <c r="AY74" i="24"/>
  <c r="AZ74" i="24"/>
  <c r="BC74" i="24"/>
  <c r="AQ74" i="24"/>
  <c r="BB74" i="24"/>
  <c r="BA74" i="24"/>
  <c r="BE74" i="24"/>
  <c r="AM75" i="24"/>
  <c r="AN75" i="24"/>
  <c r="AO75" i="24"/>
  <c r="AP75" i="24"/>
  <c r="AY75" i="24"/>
  <c r="AZ75" i="24"/>
  <c r="BC75" i="24"/>
  <c r="AQ75" i="24"/>
  <c r="BB75" i="24"/>
  <c r="BA75" i="24"/>
  <c r="BE75" i="24"/>
  <c r="AM76" i="24"/>
  <c r="AN76" i="24"/>
  <c r="AO76" i="24"/>
  <c r="AP76" i="24"/>
  <c r="AY76" i="24"/>
  <c r="AZ76" i="24"/>
  <c r="BC76" i="24"/>
  <c r="AQ76" i="24"/>
  <c r="BB76" i="24"/>
  <c r="BA76" i="24"/>
  <c r="BE76" i="24"/>
  <c r="AM77" i="24"/>
  <c r="AN77" i="24"/>
  <c r="AO77" i="24"/>
  <c r="AP77" i="24"/>
  <c r="AY77" i="24"/>
  <c r="AZ77" i="24"/>
  <c r="BC77" i="24"/>
  <c r="AQ77" i="24"/>
  <c r="BB77" i="24"/>
  <c r="BA77" i="24"/>
  <c r="BE77" i="24"/>
  <c r="AM78" i="24"/>
  <c r="AN78" i="24"/>
  <c r="AO78" i="24"/>
  <c r="AP78" i="24"/>
  <c r="AY78" i="24"/>
  <c r="AZ78" i="24"/>
  <c r="BC78" i="24"/>
  <c r="AQ78" i="24"/>
  <c r="BB78" i="24"/>
  <c r="BA78" i="24"/>
  <c r="BE78" i="24"/>
  <c r="AM79" i="24"/>
  <c r="AN79" i="24"/>
  <c r="AO79" i="24"/>
  <c r="AP79" i="24"/>
  <c r="AY79" i="24"/>
  <c r="AZ79" i="24"/>
  <c r="BC79" i="24"/>
  <c r="AQ79" i="24"/>
  <c r="BB79" i="24"/>
  <c r="BA79" i="24"/>
  <c r="BE79" i="24"/>
  <c r="AM80" i="24"/>
  <c r="AN80" i="24"/>
  <c r="AO80" i="24"/>
  <c r="AP80" i="24"/>
  <c r="AY80" i="24"/>
  <c r="AZ80" i="24"/>
  <c r="BC80" i="24"/>
  <c r="AQ80" i="24"/>
  <c r="BB80" i="24"/>
  <c r="BA80" i="24"/>
  <c r="BE80" i="24"/>
  <c r="AM81" i="24"/>
  <c r="AN81" i="24"/>
  <c r="AO81" i="24"/>
  <c r="AP81" i="24"/>
  <c r="AY81" i="24"/>
  <c r="AZ81" i="24"/>
  <c r="BC81" i="24"/>
  <c r="AQ81" i="24"/>
  <c r="BB81" i="24"/>
  <c r="BA81" i="24"/>
  <c r="BE81" i="24"/>
  <c r="AM82" i="24"/>
  <c r="AN82" i="24"/>
  <c r="AO82" i="24"/>
  <c r="AP82" i="24"/>
  <c r="AY82" i="24"/>
  <c r="AZ82" i="24"/>
  <c r="BC82" i="24"/>
  <c r="AQ82" i="24"/>
  <c r="BB82" i="24"/>
  <c r="BA82" i="24"/>
  <c r="BE82" i="24"/>
  <c r="AM83" i="24"/>
  <c r="AN83" i="24"/>
  <c r="AO83" i="24"/>
  <c r="AP83" i="24"/>
  <c r="AY83" i="24"/>
  <c r="AZ83" i="24"/>
  <c r="BC83" i="24"/>
  <c r="AQ83" i="24"/>
  <c r="BB83" i="24"/>
  <c r="BA83" i="24"/>
  <c r="BE83" i="24"/>
  <c r="AM84" i="24"/>
  <c r="AN84" i="24"/>
  <c r="AO84" i="24"/>
  <c r="AP84" i="24"/>
  <c r="AY84" i="24"/>
  <c r="AZ84" i="24"/>
  <c r="BC84" i="24"/>
  <c r="AQ84" i="24"/>
  <c r="BB84" i="24"/>
  <c r="BA84" i="24"/>
  <c r="BE84" i="24"/>
  <c r="AM85" i="24"/>
  <c r="AN85" i="24"/>
  <c r="AO85" i="24"/>
  <c r="AP85" i="24"/>
  <c r="AY85" i="24"/>
  <c r="AZ85" i="24"/>
  <c r="BC85" i="24"/>
  <c r="AQ85" i="24"/>
  <c r="BB85" i="24"/>
  <c r="BA85" i="24"/>
  <c r="BE85" i="24"/>
  <c r="AM86" i="24"/>
  <c r="AN86" i="24"/>
  <c r="AO86" i="24"/>
  <c r="AP86" i="24"/>
  <c r="AY86" i="24"/>
  <c r="AZ86" i="24"/>
  <c r="BC86" i="24"/>
  <c r="AQ86" i="24"/>
  <c r="BB86" i="24"/>
  <c r="BA86" i="24"/>
  <c r="BE86" i="24"/>
  <c r="AM87" i="24"/>
  <c r="AN87" i="24"/>
  <c r="AO87" i="24"/>
  <c r="AP87" i="24"/>
  <c r="AY87" i="24"/>
  <c r="AZ87" i="24"/>
  <c r="BC87" i="24"/>
  <c r="AQ87" i="24"/>
  <c r="BB87" i="24"/>
  <c r="BA87" i="24"/>
  <c r="BE87" i="24"/>
  <c r="AM88" i="24"/>
  <c r="AN88" i="24"/>
  <c r="AO88" i="24"/>
  <c r="AP88" i="24"/>
  <c r="AY88" i="24"/>
  <c r="AZ88" i="24"/>
  <c r="BC88" i="24"/>
  <c r="AQ88" i="24"/>
  <c r="BB88" i="24"/>
  <c r="BA88" i="24"/>
  <c r="BE88" i="24"/>
  <c r="AM89" i="24"/>
  <c r="AN89" i="24"/>
  <c r="AO89" i="24"/>
  <c r="AP89" i="24"/>
  <c r="AY89" i="24"/>
  <c r="AZ89" i="24"/>
  <c r="BC89" i="24"/>
  <c r="AQ89" i="24"/>
  <c r="BB89" i="24"/>
  <c r="BA89" i="24"/>
  <c r="BE89" i="24"/>
  <c r="AM90" i="24"/>
  <c r="AN90" i="24"/>
  <c r="AO90" i="24"/>
  <c r="AP90" i="24"/>
  <c r="AY90" i="24"/>
  <c r="AZ90" i="24"/>
  <c r="BC90" i="24"/>
  <c r="AQ90" i="24"/>
  <c r="BB90" i="24"/>
  <c r="BA90" i="24"/>
  <c r="BE90" i="24"/>
  <c r="AM91" i="24"/>
  <c r="AN91" i="24"/>
  <c r="AO91" i="24"/>
  <c r="AP91" i="24"/>
  <c r="AY91" i="24"/>
  <c r="AZ91" i="24"/>
  <c r="BC91" i="24"/>
  <c r="AQ91" i="24"/>
  <c r="BB91" i="24"/>
  <c r="BA91" i="24"/>
  <c r="BE91" i="24"/>
  <c r="AM92" i="24"/>
  <c r="AN92" i="24"/>
  <c r="AO92" i="24"/>
  <c r="AP92" i="24"/>
  <c r="AY92" i="24"/>
  <c r="AZ92" i="24"/>
  <c r="BC92" i="24"/>
  <c r="AQ92" i="24"/>
  <c r="BB92" i="24"/>
  <c r="BA92" i="24"/>
  <c r="BE92" i="24"/>
  <c r="AM93" i="24"/>
  <c r="AN93" i="24"/>
  <c r="AO93" i="24"/>
  <c r="AP93" i="24"/>
  <c r="AY93" i="24"/>
  <c r="AZ93" i="24"/>
  <c r="BC93" i="24"/>
  <c r="AQ93" i="24"/>
  <c r="BB93" i="24"/>
  <c r="BA93" i="24"/>
  <c r="BE93" i="24"/>
  <c r="AM94" i="24"/>
  <c r="AN94" i="24"/>
  <c r="AO94" i="24"/>
  <c r="AP94" i="24"/>
  <c r="AY94" i="24"/>
  <c r="AZ94" i="24"/>
  <c r="BC94" i="24"/>
  <c r="AQ94" i="24"/>
  <c r="BB94" i="24"/>
  <c r="BA94" i="24"/>
  <c r="BE94" i="24"/>
  <c r="AM95" i="24"/>
  <c r="AN95" i="24"/>
  <c r="AO95" i="24"/>
  <c r="AP95" i="24"/>
  <c r="AY95" i="24"/>
  <c r="AZ95" i="24"/>
  <c r="BC95" i="24"/>
  <c r="AQ95" i="24"/>
  <c r="BB95" i="24"/>
  <c r="BA95" i="24"/>
  <c r="BE95" i="24"/>
  <c r="AM96" i="24"/>
  <c r="AN96" i="24"/>
  <c r="AO96" i="24"/>
  <c r="AP96" i="24"/>
  <c r="AY96" i="24"/>
  <c r="AZ96" i="24"/>
  <c r="BC96" i="24"/>
  <c r="AQ96" i="24"/>
  <c r="BB96" i="24"/>
  <c r="BA96" i="24"/>
  <c r="BE96" i="24"/>
  <c r="AM97" i="24"/>
  <c r="AN97" i="24"/>
  <c r="AO97" i="24"/>
  <c r="AP97" i="24"/>
  <c r="AY97" i="24"/>
  <c r="AZ97" i="24"/>
  <c r="BC97" i="24"/>
  <c r="AQ97" i="24"/>
  <c r="BB97" i="24"/>
  <c r="BA97" i="24"/>
  <c r="BE97" i="24"/>
  <c r="DV60" i="24"/>
  <c r="DV33" i="24"/>
  <c r="N31" i="24"/>
  <c r="DU60" i="24"/>
  <c r="DU33" i="24"/>
  <c r="M31" i="24"/>
  <c r="DT60" i="24"/>
  <c r="DT33" i="24"/>
  <c r="L31" i="24"/>
  <c r="AB14" i="24"/>
  <c r="AB13" i="24"/>
  <c r="BZ105" i="24"/>
  <c r="BJ151" i="24"/>
  <c r="BI151" i="24"/>
  <c r="BO151" i="24"/>
  <c r="BM151" i="24"/>
  <c r="BP151" i="24"/>
  <c r="BS151" i="24"/>
  <c r="DN60" i="24"/>
  <c r="BZ110" i="24"/>
  <c r="CB110" i="24"/>
  <c r="CA110" i="24"/>
  <c r="CA105" i="24"/>
  <c r="BU280" i="24"/>
  <c r="BT280" i="24"/>
  <c r="BU279" i="24"/>
  <c r="BT279" i="24"/>
  <c r="BU278" i="24"/>
  <c r="BT278" i="24"/>
  <c r="BU277" i="24"/>
  <c r="BT277" i="24"/>
  <c r="BU276" i="24"/>
  <c r="BT276" i="24"/>
  <c r="BU275" i="24"/>
  <c r="BT275" i="24"/>
  <c r="BU274" i="24"/>
  <c r="BT274" i="24"/>
  <c r="BU273" i="24"/>
  <c r="BT273" i="24"/>
  <c r="BU272" i="24"/>
  <c r="BT272" i="24"/>
  <c r="BU271" i="24"/>
  <c r="BT271" i="24"/>
  <c r="BU270" i="24"/>
  <c r="BT270" i="24"/>
  <c r="BU269" i="24"/>
  <c r="BT269" i="24"/>
  <c r="BU268" i="24"/>
  <c r="BT268" i="24"/>
  <c r="BU267" i="24"/>
  <c r="BT267" i="24"/>
  <c r="BU266" i="24"/>
  <c r="BT266" i="24"/>
  <c r="BU265" i="24"/>
  <c r="BT265" i="24"/>
  <c r="BU264" i="24"/>
  <c r="BT264" i="24"/>
  <c r="BU263" i="24"/>
  <c r="BT263" i="24"/>
  <c r="BU262" i="24"/>
  <c r="BT262" i="24"/>
  <c r="BU261" i="24"/>
  <c r="BT261" i="24"/>
  <c r="BU260" i="24"/>
  <c r="BT260" i="24"/>
  <c r="BU259" i="24"/>
  <c r="BT259" i="24"/>
  <c r="BU258" i="24"/>
  <c r="BT258" i="24"/>
  <c r="BU257" i="24"/>
  <c r="BT257" i="24"/>
  <c r="BU256" i="24"/>
  <c r="BT256" i="24"/>
  <c r="BU255" i="24"/>
  <c r="BT255" i="24"/>
  <c r="BU254" i="24"/>
  <c r="BT254" i="24"/>
  <c r="BU253" i="24"/>
  <c r="BT253" i="24"/>
  <c r="BU252" i="24"/>
  <c r="BT252" i="24"/>
  <c r="BU251" i="24"/>
  <c r="BT251" i="24"/>
  <c r="BU250" i="24"/>
  <c r="BT250" i="24"/>
  <c r="BU249" i="24"/>
  <c r="BT249" i="24"/>
  <c r="BU248" i="24"/>
  <c r="BT248" i="24"/>
  <c r="BU247" i="24"/>
  <c r="BT247" i="24"/>
  <c r="BU246" i="24"/>
  <c r="BT246" i="24"/>
  <c r="BU245" i="24"/>
  <c r="BT245" i="24"/>
  <c r="BU244" i="24"/>
  <c r="BT244" i="24"/>
  <c r="BU243" i="24"/>
  <c r="BT243" i="24"/>
  <c r="BU242" i="24"/>
  <c r="BT242" i="24"/>
  <c r="BU241" i="24"/>
  <c r="BT241" i="24"/>
  <c r="BU240" i="24"/>
  <c r="BT240" i="24"/>
  <c r="BU239" i="24"/>
  <c r="BT239" i="24"/>
  <c r="BU238" i="24"/>
  <c r="BT238" i="24"/>
  <c r="BU237" i="24"/>
  <c r="BT237" i="24"/>
  <c r="BU236" i="24"/>
  <c r="BT236" i="24"/>
  <c r="BU235" i="24"/>
  <c r="BT235" i="24"/>
  <c r="BU234" i="24"/>
  <c r="BT234" i="24"/>
  <c r="BU233" i="24"/>
  <c r="BT233" i="24"/>
  <c r="BU232" i="24"/>
  <c r="BT232" i="24"/>
  <c r="BU231" i="24"/>
  <c r="BT231" i="24"/>
  <c r="BU230" i="24"/>
  <c r="BT230" i="24"/>
  <c r="BU229" i="24"/>
  <c r="BT229" i="24"/>
  <c r="BU228" i="24"/>
  <c r="BT228" i="24"/>
  <c r="BU227" i="24"/>
  <c r="BT227" i="24"/>
  <c r="BU226" i="24"/>
  <c r="BT226" i="24"/>
  <c r="BU225" i="24"/>
  <c r="BT225" i="24"/>
  <c r="BU224" i="24"/>
  <c r="BT224" i="24"/>
  <c r="BU223" i="24"/>
  <c r="BT223" i="24"/>
  <c r="BU222" i="24"/>
  <c r="BT222" i="24"/>
  <c r="BU221" i="24"/>
  <c r="BT221" i="24"/>
  <c r="BU220" i="24"/>
  <c r="BT220" i="24"/>
  <c r="BU219" i="24"/>
  <c r="BT219" i="24"/>
  <c r="BU218" i="24"/>
  <c r="BT218" i="24"/>
  <c r="BU217" i="24"/>
  <c r="BT217" i="24"/>
  <c r="BU216" i="24"/>
  <c r="BT216" i="24"/>
  <c r="BU215" i="24"/>
  <c r="BT215" i="24"/>
  <c r="BU214" i="24"/>
  <c r="BT214" i="24"/>
  <c r="BU213" i="24"/>
  <c r="BT213" i="24"/>
  <c r="BU212" i="24"/>
  <c r="BT212" i="24"/>
  <c r="BU211" i="24"/>
  <c r="BT211" i="24"/>
  <c r="BU210" i="24"/>
  <c r="BT210" i="24"/>
  <c r="BU209" i="24"/>
  <c r="BT209" i="24"/>
  <c r="BU208" i="24"/>
  <c r="BT208" i="24"/>
  <c r="BU207" i="24"/>
  <c r="BT207" i="24"/>
  <c r="BU206" i="24"/>
  <c r="BT206" i="24"/>
  <c r="BU205" i="24"/>
  <c r="BT205" i="24"/>
  <c r="BU204" i="24"/>
  <c r="BT204" i="24"/>
  <c r="BU203" i="24"/>
  <c r="BT203" i="24"/>
  <c r="BU202" i="24"/>
  <c r="BT202" i="24"/>
  <c r="BU201" i="24"/>
  <c r="BT201" i="24"/>
  <c r="BU200" i="24"/>
  <c r="BT200" i="24"/>
  <c r="BU199" i="24"/>
  <c r="BT199" i="24"/>
  <c r="BU198" i="24"/>
  <c r="BT198" i="24"/>
  <c r="BK151" i="24"/>
  <c r="BN151" i="24"/>
  <c r="BR151" i="24"/>
  <c r="BU151" i="24"/>
  <c r="DP60" i="24"/>
  <c r="BI124" i="24"/>
  <c r="BO124" i="24"/>
  <c r="BK124" i="24"/>
  <c r="BN124" i="24"/>
  <c r="BR124" i="24"/>
  <c r="BU124" i="24"/>
  <c r="DP33" i="24"/>
  <c r="CB107" i="24"/>
  <c r="CB105" i="24"/>
  <c r="CB112" i="24"/>
  <c r="AW188" i="24"/>
  <c r="BC188" i="24"/>
  <c r="AZ188" i="24"/>
  <c r="AW187" i="24"/>
  <c r="BC187" i="24"/>
  <c r="AZ187" i="24"/>
  <c r="AW186" i="24"/>
  <c r="BC186" i="24"/>
  <c r="AZ186" i="24"/>
  <c r="AW185" i="24"/>
  <c r="BC185" i="24"/>
  <c r="AZ185" i="24"/>
  <c r="AW184" i="24"/>
  <c r="BC184" i="24"/>
  <c r="AZ184" i="24"/>
  <c r="AW183" i="24"/>
  <c r="BC183" i="24"/>
  <c r="AZ183" i="24"/>
  <c r="AW182" i="24"/>
  <c r="BC182" i="24"/>
  <c r="AZ182" i="24"/>
  <c r="AW181" i="24"/>
  <c r="BC181" i="24"/>
  <c r="AZ181" i="24"/>
  <c r="AW180" i="24"/>
  <c r="BC180" i="24"/>
  <c r="AZ180" i="24"/>
  <c r="AW179" i="24"/>
  <c r="BC179" i="24"/>
  <c r="AZ179" i="24"/>
  <c r="AW178" i="24"/>
  <c r="BC178" i="24"/>
  <c r="AZ178" i="24"/>
  <c r="AW177" i="24"/>
  <c r="BC177" i="24"/>
  <c r="AZ177" i="24"/>
  <c r="AW176" i="24"/>
  <c r="BC176" i="24"/>
  <c r="AZ176" i="24"/>
  <c r="AW175" i="24"/>
  <c r="BC175" i="24"/>
  <c r="AZ175" i="24"/>
  <c r="AW174" i="24"/>
  <c r="BC174" i="24"/>
  <c r="AZ174" i="24"/>
  <c r="AW173" i="24"/>
  <c r="BC173" i="24"/>
  <c r="AZ173" i="24"/>
  <c r="AW172" i="24"/>
  <c r="BC172" i="24"/>
  <c r="AZ172" i="24"/>
  <c r="AW171" i="24"/>
  <c r="BC171" i="24"/>
  <c r="AZ171" i="24"/>
  <c r="AW170" i="24"/>
  <c r="BC170" i="24"/>
  <c r="AZ170" i="24"/>
  <c r="AW169" i="24"/>
  <c r="BC169" i="24"/>
  <c r="AZ169" i="24"/>
  <c r="AW168" i="24"/>
  <c r="BC168" i="24"/>
  <c r="AZ168" i="24"/>
  <c r="AW167" i="24"/>
  <c r="BC167" i="24"/>
  <c r="AZ167" i="24"/>
  <c r="AW166" i="24"/>
  <c r="BC166" i="24"/>
  <c r="AZ166" i="24"/>
  <c r="AW165" i="24"/>
  <c r="BC165" i="24"/>
  <c r="AZ165" i="24"/>
  <c r="AW164" i="24"/>
  <c r="BC164" i="24"/>
  <c r="AZ164" i="24"/>
  <c r="AW163" i="24"/>
  <c r="BC163" i="24"/>
  <c r="AZ163" i="24"/>
  <c r="AW162" i="24"/>
  <c r="BC162" i="24"/>
  <c r="AZ162" i="24"/>
  <c r="AW161" i="24"/>
  <c r="BC161" i="24"/>
  <c r="AZ161" i="24"/>
  <c r="AW160" i="24"/>
  <c r="BC160" i="24"/>
  <c r="AZ160" i="24"/>
  <c r="DT14" i="24"/>
  <c r="DU14" i="24"/>
  <c r="DV14" i="24"/>
  <c r="DT15" i="24"/>
  <c r="DU15" i="24"/>
  <c r="DV15" i="24"/>
  <c r="DT16" i="24"/>
  <c r="DU16" i="24"/>
  <c r="DV16" i="24"/>
  <c r="DT17" i="24"/>
  <c r="DU17" i="24"/>
  <c r="DV17" i="24"/>
  <c r="DT18" i="24"/>
  <c r="DU18" i="24"/>
  <c r="DV18" i="24"/>
  <c r="DT19" i="24"/>
  <c r="DU19" i="24"/>
  <c r="DV19" i="24"/>
  <c r="DT20" i="24"/>
  <c r="DU20" i="24"/>
  <c r="DV20" i="24"/>
  <c r="DT21" i="24"/>
  <c r="DU21" i="24"/>
  <c r="DV21" i="24"/>
  <c r="DT22" i="24"/>
  <c r="DU22" i="24"/>
  <c r="DV22" i="24"/>
  <c r="DT23" i="24"/>
  <c r="DU23" i="24"/>
  <c r="DV23" i="24"/>
  <c r="DT24" i="24"/>
  <c r="DU24" i="24"/>
  <c r="DV24" i="24"/>
  <c r="DT25" i="24"/>
  <c r="DU25" i="24"/>
  <c r="DV25" i="24"/>
  <c r="DT26" i="24"/>
  <c r="DU26" i="24"/>
  <c r="DV26" i="24"/>
  <c r="DT27" i="24"/>
  <c r="DU27" i="24"/>
  <c r="DV27" i="24"/>
  <c r="DT28" i="24"/>
  <c r="DU28" i="24"/>
  <c r="DV28" i="24"/>
  <c r="DT29" i="24"/>
  <c r="DU29" i="24"/>
  <c r="DV29" i="24"/>
  <c r="DT30" i="24"/>
  <c r="DU30" i="24"/>
  <c r="DV30" i="24"/>
  <c r="DT31" i="24"/>
  <c r="DU31" i="24"/>
  <c r="DV31" i="24"/>
  <c r="DT32" i="24"/>
  <c r="DU32" i="24"/>
  <c r="DV32" i="24"/>
  <c r="DT34" i="24"/>
  <c r="DU34" i="24"/>
  <c r="DV34" i="24"/>
  <c r="DT35" i="24"/>
  <c r="DU35" i="24"/>
  <c r="DV35" i="24"/>
  <c r="DT36" i="24"/>
  <c r="DU36" i="24"/>
  <c r="DV36" i="24"/>
  <c r="DT37" i="24"/>
  <c r="DU37" i="24"/>
  <c r="DV37" i="24"/>
  <c r="DT38" i="24"/>
  <c r="DU38" i="24"/>
  <c r="DV38" i="24"/>
  <c r="DT39" i="24"/>
  <c r="DU39" i="24"/>
  <c r="DV39" i="24"/>
  <c r="DT40" i="24"/>
  <c r="DU40" i="24"/>
  <c r="DV40" i="24"/>
  <c r="DT41" i="24"/>
  <c r="DU41" i="24"/>
  <c r="DV41" i="24"/>
  <c r="DT42" i="24"/>
  <c r="DU42" i="24"/>
  <c r="DV42" i="24"/>
  <c r="DT43" i="24"/>
  <c r="DU43" i="24"/>
  <c r="DV43" i="24"/>
  <c r="DT44" i="24"/>
  <c r="DU44" i="24"/>
  <c r="DV44" i="24"/>
  <c r="DT45" i="24"/>
  <c r="DU45" i="24"/>
  <c r="DV45" i="24"/>
  <c r="DT46" i="24"/>
  <c r="DU46" i="24"/>
  <c r="DV46" i="24"/>
  <c r="DT47" i="24"/>
  <c r="DU47" i="24"/>
  <c r="DV47" i="24"/>
  <c r="DT48" i="24"/>
  <c r="DU48" i="24"/>
  <c r="DV48" i="24"/>
  <c r="DT49" i="24"/>
  <c r="DU49" i="24"/>
  <c r="DV49" i="24"/>
  <c r="DT50" i="24"/>
  <c r="DU50" i="24"/>
  <c r="DV50" i="24"/>
  <c r="DT51" i="24"/>
  <c r="DU51" i="24"/>
  <c r="DV51" i="24"/>
  <c r="DT52" i="24"/>
  <c r="DU52" i="24"/>
  <c r="DV52" i="24"/>
  <c r="DT53" i="24"/>
  <c r="DU53" i="24"/>
  <c r="DV53" i="24"/>
  <c r="DT54" i="24"/>
  <c r="DU54" i="24"/>
  <c r="DV54" i="24"/>
  <c r="DT55" i="24"/>
  <c r="DU55" i="24"/>
  <c r="DV55" i="24"/>
  <c r="DT56" i="24"/>
  <c r="DU56" i="24"/>
  <c r="DV56" i="24"/>
  <c r="DT57" i="24"/>
  <c r="DU57" i="24"/>
  <c r="DV57" i="24"/>
  <c r="DT58" i="24"/>
  <c r="DU58" i="24"/>
  <c r="DV58" i="24"/>
  <c r="DT59" i="24"/>
  <c r="DU59" i="24"/>
  <c r="DV59" i="24"/>
  <c r="DT61" i="24"/>
  <c r="DU61" i="24"/>
  <c r="DV61" i="24"/>
  <c r="DT62" i="24"/>
  <c r="DU62" i="24"/>
  <c r="DV62" i="24"/>
  <c r="DT63" i="24"/>
  <c r="DU63" i="24"/>
  <c r="DV63" i="24"/>
  <c r="DT64" i="24"/>
  <c r="DU64" i="24"/>
  <c r="DV64" i="24"/>
  <c r="DT65" i="24"/>
  <c r="DU65" i="24"/>
  <c r="DV65" i="24"/>
  <c r="DT66" i="24"/>
  <c r="DU66" i="24"/>
  <c r="DV66" i="24"/>
  <c r="DT67" i="24"/>
  <c r="DU67" i="24"/>
  <c r="DV67" i="24"/>
  <c r="DT68" i="24"/>
  <c r="DU68" i="24"/>
  <c r="DV68" i="24"/>
  <c r="DT69" i="24"/>
  <c r="DU69" i="24"/>
  <c r="DV69" i="24"/>
  <c r="DT70" i="24"/>
  <c r="DU70" i="24"/>
  <c r="DV70" i="24"/>
  <c r="DT71" i="24"/>
  <c r="DU71" i="24"/>
  <c r="DV71" i="24"/>
  <c r="DT72" i="24"/>
  <c r="DU72" i="24"/>
  <c r="DV72" i="24"/>
  <c r="DT73" i="24"/>
  <c r="DU73" i="24"/>
  <c r="DV73" i="24"/>
  <c r="DT74" i="24"/>
  <c r="DU74" i="24"/>
  <c r="DV74" i="24"/>
  <c r="DT75" i="24"/>
  <c r="DU75" i="24"/>
  <c r="DV75" i="24"/>
  <c r="DT76" i="24"/>
  <c r="DU76" i="24"/>
  <c r="DV76" i="24"/>
  <c r="DT77" i="24"/>
  <c r="DU77" i="24"/>
  <c r="DV77" i="24"/>
  <c r="DT78" i="24"/>
  <c r="DU78" i="24"/>
  <c r="DV78" i="24"/>
  <c r="DT79" i="24"/>
  <c r="DU79" i="24"/>
  <c r="DV79" i="24"/>
  <c r="DT80" i="24"/>
  <c r="DU80" i="24"/>
  <c r="DV80" i="24"/>
  <c r="DT81" i="24"/>
  <c r="DU81" i="24"/>
  <c r="DV81" i="24"/>
  <c r="DT82" i="24"/>
  <c r="DU82" i="24"/>
  <c r="DV82" i="24"/>
  <c r="DT83" i="24"/>
  <c r="DU83" i="24"/>
  <c r="DV83" i="24"/>
  <c r="DT84" i="24"/>
  <c r="DU84" i="24"/>
  <c r="DV84" i="24"/>
  <c r="DT85" i="24"/>
  <c r="DU85" i="24"/>
  <c r="DV85" i="24"/>
  <c r="DT86" i="24"/>
  <c r="DU86" i="24"/>
  <c r="DV86" i="24"/>
  <c r="DT87" i="24"/>
  <c r="DU87" i="24"/>
  <c r="DV87" i="24"/>
  <c r="DT88" i="24"/>
  <c r="DU88" i="24"/>
  <c r="DV88" i="24"/>
  <c r="DT89" i="24"/>
  <c r="DU89" i="24"/>
  <c r="DV89" i="24"/>
  <c r="DT90" i="24"/>
  <c r="DU90" i="24"/>
  <c r="DV90" i="24"/>
  <c r="DT91" i="24"/>
  <c r="DU91" i="24"/>
  <c r="DV91" i="24"/>
  <c r="DT92" i="24"/>
  <c r="DU92" i="24"/>
  <c r="DV92" i="24"/>
  <c r="DT93" i="24"/>
  <c r="DU93" i="24"/>
  <c r="DV93" i="24"/>
  <c r="DT94" i="24"/>
  <c r="DU94" i="24"/>
  <c r="DV94" i="24"/>
  <c r="DT95" i="24"/>
  <c r="DU95" i="24"/>
  <c r="DV95" i="24"/>
  <c r="DT96" i="24"/>
  <c r="DU96" i="24"/>
  <c r="DV96" i="24"/>
  <c r="DT97" i="24"/>
  <c r="DU97" i="24"/>
  <c r="DV97" i="24"/>
  <c r="BQ151" i="24"/>
  <c r="BT151" i="24"/>
  <c r="DO60" i="24"/>
  <c r="AB15" i="24"/>
  <c r="BY107" i="24"/>
  <c r="BX107" i="24"/>
  <c r="BW107" i="24"/>
  <c r="BI188" i="24"/>
  <c r="BO188" i="24"/>
  <c r="BK188" i="24"/>
  <c r="BN188" i="24"/>
  <c r="BR188" i="24"/>
  <c r="BU188" i="24"/>
  <c r="DP97" i="24"/>
  <c r="BQ188" i="24"/>
  <c r="BT188" i="24"/>
  <c r="DO97" i="24"/>
  <c r="BJ188" i="24"/>
  <c r="BM188" i="24"/>
  <c r="BP188" i="24"/>
  <c r="BS188" i="24"/>
  <c r="DN97" i="24"/>
  <c r="BI187" i="24"/>
  <c r="BO187" i="24"/>
  <c r="BK187" i="24"/>
  <c r="BN187" i="24"/>
  <c r="BR187" i="24"/>
  <c r="BU187" i="24"/>
  <c r="DP96" i="24"/>
  <c r="BQ187" i="24"/>
  <c r="BT187" i="24"/>
  <c r="DO96" i="24"/>
  <c r="BJ187" i="24"/>
  <c r="BM187" i="24"/>
  <c r="BP187" i="24"/>
  <c r="BS187" i="24"/>
  <c r="DN96" i="24"/>
  <c r="BI186" i="24"/>
  <c r="BO186" i="24"/>
  <c r="BK186" i="24"/>
  <c r="BN186" i="24"/>
  <c r="BR186" i="24"/>
  <c r="BU186" i="24"/>
  <c r="DP95" i="24"/>
  <c r="BQ186" i="24"/>
  <c r="BT186" i="24"/>
  <c r="DO95" i="24"/>
  <c r="BJ186" i="24"/>
  <c r="BM186" i="24"/>
  <c r="BP186" i="24"/>
  <c r="BS186" i="24"/>
  <c r="DN95" i="24"/>
  <c r="BI185" i="24"/>
  <c r="BO185" i="24"/>
  <c r="BK185" i="24"/>
  <c r="BN185" i="24"/>
  <c r="BR185" i="24"/>
  <c r="BU185" i="24"/>
  <c r="DP94" i="24"/>
  <c r="BQ185" i="24"/>
  <c r="BT185" i="24"/>
  <c r="DO94" i="24"/>
  <c r="BJ185" i="24"/>
  <c r="BM185" i="24"/>
  <c r="BP185" i="24"/>
  <c r="BS185" i="24"/>
  <c r="DN94" i="24"/>
  <c r="BI184" i="24"/>
  <c r="BO184" i="24"/>
  <c r="BK184" i="24"/>
  <c r="BN184" i="24"/>
  <c r="BR184" i="24"/>
  <c r="BU184" i="24"/>
  <c r="DP93" i="24"/>
  <c r="BQ184" i="24"/>
  <c r="BT184" i="24"/>
  <c r="DO93" i="24"/>
  <c r="BJ184" i="24"/>
  <c r="BM184" i="24"/>
  <c r="BP184" i="24"/>
  <c r="BS184" i="24"/>
  <c r="DN93" i="24"/>
  <c r="BI183" i="24"/>
  <c r="BO183" i="24"/>
  <c r="BK183" i="24"/>
  <c r="BN183" i="24"/>
  <c r="BR183" i="24"/>
  <c r="BU183" i="24"/>
  <c r="DP92" i="24"/>
  <c r="BQ183" i="24"/>
  <c r="BT183" i="24"/>
  <c r="DO92" i="24"/>
  <c r="BJ183" i="24"/>
  <c r="BM183" i="24"/>
  <c r="BP183" i="24"/>
  <c r="BS183" i="24"/>
  <c r="DN92" i="24"/>
  <c r="BI182" i="24"/>
  <c r="BO182" i="24"/>
  <c r="BK182" i="24"/>
  <c r="BN182" i="24"/>
  <c r="BR182" i="24"/>
  <c r="BU182" i="24"/>
  <c r="DP91" i="24"/>
  <c r="BQ182" i="24"/>
  <c r="BT182" i="24"/>
  <c r="DO91" i="24"/>
  <c r="BJ182" i="24"/>
  <c r="BM182" i="24"/>
  <c r="BP182" i="24"/>
  <c r="BS182" i="24"/>
  <c r="DN91" i="24"/>
  <c r="BI181" i="24"/>
  <c r="BO181" i="24"/>
  <c r="BK181" i="24"/>
  <c r="BN181" i="24"/>
  <c r="BR181" i="24"/>
  <c r="BU181" i="24"/>
  <c r="DP90" i="24"/>
  <c r="BQ181" i="24"/>
  <c r="BT181" i="24"/>
  <c r="DO90" i="24"/>
  <c r="BJ181" i="24"/>
  <c r="BM181" i="24"/>
  <c r="BP181" i="24"/>
  <c r="BS181" i="24"/>
  <c r="DN90" i="24"/>
  <c r="BI180" i="24"/>
  <c r="BO180" i="24"/>
  <c r="BK180" i="24"/>
  <c r="BN180" i="24"/>
  <c r="BR180" i="24"/>
  <c r="BU180" i="24"/>
  <c r="DP89" i="24"/>
  <c r="BQ180" i="24"/>
  <c r="BT180" i="24"/>
  <c r="DO89" i="24"/>
  <c r="BJ180" i="24"/>
  <c r="BM180" i="24"/>
  <c r="BP180" i="24"/>
  <c r="BS180" i="24"/>
  <c r="DN89" i="24"/>
  <c r="BI179" i="24"/>
  <c r="BO179" i="24"/>
  <c r="BK179" i="24"/>
  <c r="BN179" i="24"/>
  <c r="BR179" i="24"/>
  <c r="BU179" i="24"/>
  <c r="DP88" i="24"/>
  <c r="BQ179" i="24"/>
  <c r="BT179" i="24"/>
  <c r="DO88" i="24"/>
  <c r="BJ179" i="24"/>
  <c r="BM179" i="24"/>
  <c r="BP179" i="24"/>
  <c r="BS179" i="24"/>
  <c r="DN88" i="24"/>
  <c r="BI178" i="24"/>
  <c r="BO178" i="24"/>
  <c r="BK178" i="24"/>
  <c r="BN178" i="24"/>
  <c r="BR178" i="24"/>
  <c r="BU178" i="24"/>
  <c r="DP87" i="24"/>
  <c r="BQ178" i="24"/>
  <c r="BT178" i="24"/>
  <c r="DO87" i="24"/>
  <c r="BJ178" i="24"/>
  <c r="BM178" i="24"/>
  <c r="BP178" i="24"/>
  <c r="BS178" i="24"/>
  <c r="DN87" i="24"/>
  <c r="BI177" i="24"/>
  <c r="BO177" i="24"/>
  <c r="BK177" i="24"/>
  <c r="BN177" i="24"/>
  <c r="BR177" i="24"/>
  <c r="BU177" i="24"/>
  <c r="DP86" i="24"/>
  <c r="BQ177" i="24"/>
  <c r="BT177" i="24"/>
  <c r="DO86" i="24"/>
  <c r="BJ177" i="24"/>
  <c r="BM177" i="24"/>
  <c r="BP177" i="24"/>
  <c r="BS177" i="24"/>
  <c r="DN86" i="24"/>
  <c r="BI176" i="24"/>
  <c r="BO176" i="24"/>
  <c r="BK176" i="24"/>
  <c r="BN176" i="24"/>
  <c r="BR176" i="24"/>
  <c r="BU176" i="24"/>
  <c r="DP85" i="24"/>
  <c r="BQ176" i="24"/>
  <c r="BT176" i="24"/>
  <c r="DO85" i="24"/>
  <c r="BJ176" i="24"/>
  <c r="BM176" i="24"/>
  <c r="BP176" i="24"/>
  <c r="BS176" i="24"/>
  <c r="DN85" i="24"/>
  <c r="BI175" i="24"/>
  <c r="BO175" i="24"/>
  <c r="BK175" i="24"/>
  <c r="BN175" i="24"/>
  <c r="BR175" i="24"/>
  <c r="BU175" i="24"/>
  <c r="DP84" i="24"/>
  <c r="BQ175" i="24"/>
  <c r="BT175" i="24"/>
  <c r="DO84" i="24"/>
  <c r="BJ175" i="24"/>
  <c r="BM175" i="24"/>
  <c r="BP175" i="24"/>
  <c r="BS175" i="24"/>
  <c r="DN84" i="24"/>
  <c r="BI174" i="24"/>
  <c r="BO174" i="24"/>
  <c r="BK174" i="24"/>
  <c r="BN174" i="24"/>
  <c r="BR174" i="24"/>
  <c r="BU174" i="24"/>
  <c r="DP83" i="24"/>
  <c r="BQ174" i="24"/>
  <c r="BT174" i="24"/>
  <c r="DO83" i="24"/>
  <c r="BJ174" i="24"/>
  <c r="BM174" i="24"/>
  <c r="BP174" i="24"/>
  <c r="BS174" i="24"/>
  <c r="DN83" i="24"/>
  <c r="BI173" i="24"/>
  <c r="BO173" i="24"/>
  <c r="BK173" i="24"/>
  <c r="BN173" i="24"/>
  <c r="BR173" i="24"/>
  <c r="BU173" i="24"/>
  <c r="DP82" i="24"/>
  <c r="BQ173" i="24"/>
  <c r="BT173" i="24"/>
  <c r="DO82" i="24"/>
  <c r="BJ173" i="24"/>
  <c r="BM173" i="24"/>
  <c r="BP173" i="24"/>
  <c r="BS173" i="24"/>
  <c r="DN82" i="24"/>
  <c r="BI172" i="24"/>
  <c r="BO172" i="24"/>
  <c r="BK172" i="24"/>
  <c r="BN172" i="24"/>
  <c r="BR172" i="24"/>
  <c r="BU172" i="24"/>
  <c r="DP81" i="24"/>
  <c r="BQ172" i="24"/>
  <c r="BT172" i="24"/>
  <c r="DO81" i="24"/>
  <c r="BJ172" i="24"/>
  <c r="BM172" i="24"/>
  <c r="BP172" i="24"/>
  <c r="BS172" i="24"/>
  <c r="DN81" i="24"/>
  <c r="BI171" i="24"/>
  <c r="BO171" i="24"/>
  <c r="BK171" i="24"/>
  <c r="BN171" i="24"/>
  <c r="BR171" i="24"/>
  <c r="BU171" i="24"/>
  <c r="DP80" i="24"/>
  <c r="BQ171" i="24"/>
  <c r="BT171" i="24"/>
  <c r="DO80" i="24"/>
  <c r="BJ171" i="24"/>
  <c r="BM171" i="24"/>
  <c r="BP171" i="24"/>
  <c r="BS171" i="24"/>
  <c r="DN80" i="24"/>
  <c r="BI170" i="24"/>
  <c r="BO170" i="24"/>
  <c r="BK170" i="24"/>
  <c r="BN170" i="24"/>
  <c r="BR170" i="24"/>
  <c r="BU170" i="24"/>
  <c r="DP79" i="24"/>
  <c r="BQ170" i="24"/>
  <c r="BT170" i="24"/>
  <c r="DO79" i="24"/>
  <c r="BJ170" i="24"/>
  <c r="BM170" i="24"/>
  <c r="BP170" i="24"/>
  <c r="BS170" i="24"/>
  <c r="DN79" i="24"/>
  <c r="BI169" i="24"/>
  <c r="BO169" i="24"/>
  <c r="BK169" i="24"/>
  <c r="BN169" i="24"/>
  <c r="BR169" i="24"/>
  <c r="BU169" i="24"/>
  <c r="DP78" i="24"/>
  <c r="BQ169" i="24"/>
  <c r="BT169" i="24"/>
  <c r="DO78" i="24"/>
  <c r="BJ169" i="24"/>
  <c r="BM169" i="24"/>
  <c r="BP169" i="24"/>
  <c r="BS169" i="24"/>
  <c r="DN78" i="24"/>
  <c r="BI168" i="24"/>
  <c r="BO168" i="24"/>
  <c r="BK168" i="24"/>
  <c r="BN168" i="24"/>
  <c r="BR168" i="24"/>
  <c r="BU168" i="24"/>
  <c r="DP77" i="24"/>
  <c r="BQ168" i="24"/>
  <c r="BT168" i="24"/>
  <c r="DO77" i="24"/>
  <c r="BJ168" i="24"/>
  <c r="BM168" i="24"/>
  <c r="BP168" i="24"/>
  <c r="BS168" i="24"/>
  <c r="DN77" i="24"/>
  <c r="BI167" i="24"/>
  <c r="BO167" i="24"/>
  <c r="BK167" i="24"/>
  <c r="BN167" i="24"/>
  <c r="BR167" i="24"/>
  <c r="BU167" i="24"/>
  <c r="DP76" i="24"/>
  <c r="BQ167" i="24"/>
  <c r="BT167" i="24"/>
  <c r="DO76" i="24"/>
  <c r="BJ167" i="24"/>
  <c r="BM167" i="24"/>
  <c r="BP167" i="24"/>
  <c r="BS167" i="24"/>
  <c r="DN76" i="24"/>
  <c r="BI166" i="24"/>
  <c r="BO166" i="24"/>
  <c r="BK166" i="24"/>
  <c r="BN166" i="24"/>
  <c r="BR166" i="24"/>
  <c r="BU166" i="24"/>
  <c r="DP75" i="24"/>
  <c r="BQ166" i="24"/>
  <c r="BT166" i="24"/>
  <c r="DO75" i="24"/>
  <c r="BJ166" i="24"/>
  <c r="BM166" i="24"/>
  <c r="BP166" i="24"/>
  <c r="BS166" i="24"/>
  <c r="DN75" i="24"/>
  <c r="BI165" i="24"/>
  <c r="BO165" i="24"/>
  <c r="BK165" i="24"/>
  <c r="BN165" i="24"/>
  <c r="BR165" i="24"/>
  <c r="BU165" i="24"/>
  <c r="DP74" i="24"/>
  <c r="BQ165" i="24"/>
  <c r="BT165" i="24"/>
  <c r="DO74" i="24"/>
  <c r="BJ165" i="24"/>
  <c r="BM165" i="24"/>
  <c r="BP165" i="24"/>
  <c r="BS165" i="24"/>
  <c r="DN74" i="24"/>
  <c r="BI164" i="24"/>
  <c r="BO164" i="24"/>
  <c r="BK164" i="24"/>
  <c r="BN164" i="24"/>
  <c r="BR164" i="24"/>
  <c r="BU164" i="24"/>
  <c r="DP73" i="24"/>
  <c r="BQ164" i="24"/>
  <c r="BT164" i="24"/>
  <c r="DO73" i="24"/>
  <c r="BJ164" i="24"/>
  <c r="BM164" i="24"/>
  <c r="BP164" i="24"/>
  <c r="BS164" i="24"/>
  <c r="DN73" i="24"/>
  <c r="BI163" i="24"/>
  <c r="BO163" i="24"/>
  <c r="BK163" i="24"/>
  <c r="BN163" i="24"/>
  <c r="BR163" i="24"/>
  <c r="BU163" i="24"/>
  <c r="DP72" i="24"/>
  <c r="BQ163" i="24"/>
  <c r="BT163" i="24"/>
  <c r="DO72" i="24"/>
  <c r="BJ163" i="24"/>
  <c r="BM163" i="24"/>
  <c r="BP163" i="24"/>
  <c r="BS163" i="24"/>
  <c r="DN72" i="24"/>
  <c r="BI162" i="24"/>
  <c r="BO162" i="24"/>
  <c r="BK162" i="24"/>
  <c r="BN162" i="24"/>
  <c r="BR162" i="24"/>
  <c r="BU162" i="24"/>
  <c r="DP71" i="24"/>
  <c r="BQ162" i="24"/>
  <c r="BT162" i="24"/>
  <c r="DO71" i="24"/>
  <c r="BJ162" i="24"/>
  <c r="BM162" i="24"/>
  <c r="BP162" i="24"/>
  <c r="BS162" i="24"/>
  <c r="DN71" i="24"/>
  <c r="BI161" i="24"/>
  <c r="BO161" i="24"/>
  <c r="BK161" i="24"/>
  <c r="BN161" i="24"/>
  <c r="BR161" i="24"/>
  <c r="BU161" i="24"/>
  <c r="DP70" i="24"/>
  <c r="BQ161" i="24"/>
  <c r="BT161" i="24"/>
  <c r="DO70" i="24"/>
  <c r="BJ161" i="24"/>
  <c r="BM161" i="24"/>
  <c r="BP161" i="24"/>
  <c r="BS161" i="24"/>
  <c r="DN70" i="24"/>
  <c r="BI160" i="24"/>
  <c r="BO160" i="24"/>
  <c r="BK160" i="24"/>
  <c r="BN160" i="24"/>
  <c r="BR160" i="24"/>
  <c r="BU160" i="24"/>
  <c r="DP69" i="24"/>
  <c r="BQ160" i="24"/>
  <c r="BT160" i="24"/>
  <c r="DO69" i="24"/>
  <c r="BJ160" i="24"/>
  <c r="BM160" i="24"/>
  <c r="BP160" i="24"/>
  <c r="BS160" i="24"/>
  <c r="DN69" i="24"/>
  <c r="BI159" i="24"/>
  <c r="BO159" i="24"/>
  <c r="BK159" i="24"/>
  <c r="BN159" i="24"/>
  <c r="BR159" i="24"/>
  <c r="BU159" i="24"/>
  <c r="DP68" i="24"/>
  <c r="BQ159" i="24"/>
  <c r="BT159" i="24"/>
  <c r="DO68" i="24"/>
  <c r="BJ159" i="24"/>
  <c r="BM159" i="24"/>
  <c r="BP159" i="24"/>
  <c r="BS159" i="24"/>
  <c r="DN68" i="24"/>
  <c r="BI144" i="24"/>
  <c r="BJ144" i="24"/>
  <c r="BK144" i="24"/>
  <c r="BO144" i="24"/>
  <c r="BM144" i="24"/>
  <c r="BP144" i="24"/>
  <c r="BS144" i="24"/>
  <c r="BQ144" i="24"/>
  <c r="BT144" i="24"/>
  <c r="BN144" i="24"/>
  <c r="BR144" i="24"/>
  <c r="BU144" i="24"/>
  <c r="BI158" i="24"/>
  <c r="BO158" i="24"/>
  <c r="BK158" i="24"/>
  <c r="BN158" i="24"/>
  <c r="BR158" i="24"/>
  <c r="BU158" i="24"/>
  <c r="DP67" i="24"/>
  <c r="BQ158" i="24"/>
  <c r="BT158" i="24"/>
  <c r="DO67" i="24"/>
  <c r="BJ158" i="24"/>
  <c r="BM158" i="24"/>
  <c r="BP158" i="24"/>
  <c r="BS158" i="24"/>
  <c r="DN67" i="24"/>
  <c r="BI157" i="24"/>
  <c r="BO157" i="24"/>
  <c r="BK157" i="24"/>
  <c r="BN157" i="24"/>
  <c r="BR157" i="24"/>
  <c r="BU157" i="24"/>
  <c r="DP66" i="24"/>
  <c r="BQ157" i="24"/>
  <c r="BT157" i="24"/>
  <c r="DO66" i="24"/>
  <c r="BJ157" i="24"/>
  <c r="BM157" i="24"/>
  <c r="BP157" i="24"/>
  <c r="BS157" i="24"/>
  <c r="DN66" i="24"/>
  <c r="BI156" i="24"/>
  <c r="BO156" i="24"/>
  <c r="BK156" i="24"/>
  <c r="BN156" i="24"/>
  <c r="BR156" i="24"/>
  <c r="BU156" i="24"/>
  <c r="DP65" i="24"/>
  <c r="BQ156" i="24"/>
  <c r="BT156" i="24"/>
  <c r="DO65" i="24"/>
  <c r="BJ156" i="24"/>
  <c r="BM156" i="24"/>
  <c r="BP156" i="24"/>
  <c r="BS156" i="24"/>
  <c r="DN65" i="24"/>
  <c r="BI155" i="24"/>
  <c r="BO155" i="24"/>
  <c r="BK155" i="24"/>
  <c r="BN155" i="24"/>
  <c r="BR155" i="24"/>
  <c r="BU155" i="24"/>
  <c r="DP64" i="24"/>
  <c r="BQ155" i="24"/>
  <c r="BT155" i="24"/>
  <c r="DO64" i="24"/>
  <c r="BJ155" i="24"/>
  <c r="BM155" i="24"/>
  <c r="BP155" i="24"/>
  <c r="BS155" i="24"/>
  <c r="DN64" i="24"/>
  <c r="BI154" i="24"/>
  <c r="BO154" i="24"/>
  <c r="BK154" i="24"/>
  <c r="BN154" i="24"/>
  <c r="BR154" i="24"/>
  <c r="BU154" i="24"/>
  <c r="DP63" i="24"/>
  <c r="BQ154" i="24"/>
  <c r="BT154" i="24"/>
  <c r="DO63" i="24"/>
  <c r="BJ154" i="24"/>
  <c r="BM154" i="24"/>
  <c r="BP154" i="24"/>
  <c r="BS154" i="24"/>
  <c r="DN63" i="24"/>
  <c r="BI153" i="24"/>
  <c r="BO153" i="24"/>
  <c r="BK153" i="24"/>
  <c r="BN153" i="24"/>
  <c r="BR153" i="24"/>
  <c r="BU153" i="24"/>
  <c r="DP62" i="24"/>
  <c r="BQ153" i="24"/>
  <c r="BT153" i="24"/>
  <c r="DO62" i="24"/>
  <c r="BJ153" i="24"/>
  <c r="BM153" i="24"/>
  <c r="BP153" i="24"/>
  <c r="BS153" i="24"/>
  <c r="DN62" i="24"/>
  <c r="BI152" i="24"/>
  <c r="BO152" i="24"/>
  <c r="BK152" i="24"/>
  <c r="BN152" i="24"/>
  <c r="BR152" i="24"/>
  <c r="BU152" i="24"/>
  <c r="DP61" i="24"/>
  <c r="BQ152" i="24"/>
  <c r="BT152" i="24"/>
  <c r="DO61" i="24"/>
  <c r="BJ152" i="24"/>
  <c r="BM152" i="24"/>
  <c r="BP152" i="24"/>
  <c r="BS152" i="24"/>
  <c r="DN61" i="24"/>
  <c r="BI150" i="24"/>
  <c r="BO150" i="24"/>
  <c r="BK150" i="24"/>
  <c r="BN150" i="24"/>
  <c r="BR150" i="24"/>
  <c r="BU150" i="24"/>
  <c r="DP59" i="24"/>
  <c r="BQ150" i="24"/>
  <c r="BT150" i="24"/>
  <c r="DO59" i="24"/>
  <c r="BJ150" i="24"/>
  <c r="BM150" i="24"/>
  <c r="BP150" i="24"/>
  <c r="BS150" i="24"/>
  <c r="DN59" i="24"/>
  <c r="BI149" i="24"/>
  <c r="BO149" i="24"/>
  <c r="BK149" i="24"/>
  <c r="BN149" i="24"/>
  <c r="BR149" i="24"/>
  <c r="BU149" i="24"/>
  <c r="DP58" i="24"/>
  <c r="BQ149" i="24"/>
  <c r="BT149" i="24"/>
  <c r="DO58" i="24"/>
  <c r="BJ149" i="24"/>
  <c r="BM149" i="24"/>
  <c r="BP149" i="24"/>
  <c r="BS149" i="24"/>
  <c r="DN58" i="24"/>
  <c r="BI148" i="24"/>
  <c r="BO148" i="24"/>
  <c r="BK148" i="24"/>
  <c r="BN148" i="24"/>
  <c r="BR148" i="24"/>
  <c r="BU148" i="24"/>
  <c r="DP57" i="24"/>
  <c r="BQ148" i="24"/>
  <c r="BT148" i="24"/>
  <c r="DO57" i="24"/>
  <c r="BJ148" i="24"/>
  <c r="BM148" i="24"/>
  <c r="BP148" i="24"/>
  <c r="BS148" i="24"/>
  <c r="DN57" i="24"/>
  <c r="BI147" i="24"/>
  <c r="BO147" i="24"/>
  <c r="BK147" i="24"/>
  <c r="BN147" i="24"/>
  <c r="BR147" i="24"/>
  <c r="BU147" i="24"/>
  <c r="DP56" i="24"/>
  <c r="BQ147" i="24"/>
  <c r="BT147" i="24"/>
  <c r="DO56" i="24"/>
  <c r="BJ147" i="24"/>
  <c r="BM147" i="24"/>
  <c r="BP147" i="24"/>
  <c r="BS147" i="24"/>
  <c r="DN56" i="24"/>
  <c r="BI146" i="24"/>
  <c r="BO146" i="24"/>
  <c r="BK146" i="24"/>
  <c r="BN146" i="24"/>
  <c r="BR146" i="24"/>
  <c r="BU146" i="24"/>
  <c r="DP55" i="24"/>
  <c r="BQ146" i="24"/>
  <c r="BT146" i="24"/>
  <c r="DO55" i="24"/>
  <c r="BJ146" i="24"/>
  <c r="BM146" i="24"/>
  <c r="BP146" i="24"/>
  <c r="BS146" i="24"/>
  <c r="DN55" i="24"/>
  <c r="BI145" i="24"/>
  <c r="BO145" i="24"/>
  <c r="BK145" i="24"/>
  <c r="BN145" i="24"/>
  <c r="BR145" i="24"/>
  <c r="BU145" i="24"/>
  <c r="DP54" i="24"/>
  <c r="BQ145" i="24"/>
  <c r="BT145" i="24"/>
  <c r="DO54" i="24"/>
  <c r="BJ145" i="24"/>
  <c r="BM145" i="24"/>
  <c r="BP145" i="24"/>
  <c r="BS145" i="24"/>
  <c r="DN54" i="24"/>
  <c r="DP53" i="24"/>
  <c r="DO53" i="24"/>
  <c r="DN53" i="24"/>
  <c r="BI143" i="24"/>
  <c r="BO143" i="24"/>
  <c r="BK143" i="24"/>
  <c r="BN143" i="24"/>
  <c r="BR143" i="24"/>
  <c r="BU143" i="24"/>
  <c r="DP52" i="24"/>
  <c r="BQ143" i="24"/>
  <c r="BT143" i="24"/>
  <c r="DO52" i="24"/>
  <c r="BJ143" i="24"/>
  <c r="BM143" i="24"/>
  <c r="BP143" i="24"/>
  <c r="BS143" i="24"/>
  <c r="DN52" i="24"/>
  <c r="BI142" i="24"/>
  <c r="BO142" i="24"/>
  <c r="BK142" i="24"/>
  <c r="BN142" i="24"/>
  <c r="BR142" i="24"/>
  <c r="BU142" i="24"/>
  <c r="DP51" i="24"/>
  <c r="BQ142" i="24"/>
  <c r="BT142" i="24"/>
  <c r="DO51" i="24"/>
  <c r="BJ142" i="24"/>
  <c r="BM142" i="24"/>
  <c r="BP142" i="24"/>
  <c r="BS142" i="24"/>
  <c r="DN51" i="24"/>
  <c r="BI141" i="24"/>
  <c r="BO141" i="24"/>
  <c r="BK141" i="24"/>
  <c r="BN141" i="24"/>
  <c r="BR141" i="24"/>
  <c r="BU141" i="24"/>
  <c r="DP50" i="24"/>
  <c r="BQ141" i="24"/>
  <c r="BT141" i="24"/>
  <c r="DO50" i="24"/>
  <c r="BJ141" i="24"/>
  <c r="BM141" i="24"/>
  <c r="BP141" i="24"/>
  <c r="BS141" i="24"/>
  <c r="DN50" i="24"/>
  <c r="BI140" i="24"/>
  <c r="BO140" i="24"/>
  <c r="BK140" i="24"/>
  <c r="BN140" i="24"/>
  <c r="BR140" i="24"/>
  <c r="BU140" i="24"/>
  <c r="DP49" i="24"/>
  <c r="BQ140" i="24"/>
  <c r="BT140" i="24"/>
  <c r="DO49" i="24"/>
  <c r="BJ140" i="24"/>
  <c r="BM140" i="24"/>
  <c r="BP140" i="24"/>
  <c r="BS140" i="24"/>
  <c r="DN49" i="24"/>
  <c r="BI139" i="24"/>
  <c r="BO139" i="24"/>
  <c r="BK139" i="24"/>
  <c r="BN139" i="24"/>
  <c r="BR139" i="24"/>
  <c r="BU139" i="24"/>
  <c r="DP48" i="24"/>
  <c r="BQ139" i="24"/>
  <c r="BT139" i="24"/>
  <c r="DO48" i="24"/>
  <c r="BJ139" i="24"/>
  <c r="BM139" i="24"/>
  <c r="BP139" i="24"/>
  <c r="BS139" i="24"/>
  <c r="DN48" i="24"/>
  <c r="BI138" i="24"/>
  <c r="BO138" i="24"/>
  <c r="BK138" i="24"/>
  <c r="BN138" i="24"/>
  <c r="BR138" i="24"/>
  <c r="BU138" i="24"/>
  <c r="DP47" i="24"/>
  <c r="BQ138" i="24"/>
  <c r="BT138" i="24"/>
  <c r="DO47" i="24"/>
  <c r="BJ138" i="24"/>
  <c r="BM138" i="24"/>
  <c r="BP138" i="24"/>
  <c r="BS138" i="24"/>
  <c r="DN47" i="24"/>
  <c r="BI137" i="24"/>
  <c r="BO137" i="24"/>
  <c r="BK137" i="24"/>
  <c r="BN137" i="24"/>
  <c r="BR137" i="24"/>
  <c r="BU137" i="24"/>
  <c r="DP46" i="24"/>
  <c r="BQ137" i="24"/>
  <c r="BT137" i="24"/>
  <c r="DO46" i="24"/>
  <c r="BJ137" i="24"/>
  <c r="BM137" i="24"/>
  <c r="BP137" i="24"/>
  <c r="BS137" i="24"/>
  <c r="DN46" i="24"/>
  <c r="BI136" i="24"/>
  <c r="BO136" i="24"/>
  <c r="BK136" i="24"/>
  <c r="BN136" i="24"/>
  <c r="BR136" i="24"/>
  <c r="BU136" i="24"/>
  <c r="DP45" i="24"/>
  <c r="BQ136" i="24"/>
  <c r="BT136" i="24"/>
  <c r="DO45" i="24"/>
  <c r="BJ136" i="24"/>
  <c r="BM136" i="24"/>
  <c r="BP136" i="24"/>
  <c r="BS136" i="24"/>
  <c r="DN45" i="24"/>
  <c r="BI135" i="24"/>
  <c r="BO135" i="24"/>
  <c r="BK135" i="24"/>
  <c r="BN135" i="24"/>
  <c r="BR135" i="24"/>
  <c r="BU135" i="24"/>
  <c r="DP44" i="24"/>
  <c r="BQ135" i="24"/>
  <c r="BT135" i="24"/>
  <c r="DO44" i="24"/>
  <c r="BJ135" i="24"/>
  <c r="BM135" i="24"/>
  <c r="BP135" i="24"/>
  <c r="BS135" i="24"/>
  <c r="DN44" i="24"/>
  <c r="BI134" i="24"/>
  <c r="BO134" i="24"/>
  <c r="BK134" i="24"/>
  <c r="BN134" i="24"/>
  <c r="BR134" i="24"/>
  <c r="BU134" i="24"/>
  <c r="DP43" i="24"/>
  <c r="BQ134" i="24"/>
  <c r="BT134" i="24"/>
  <c r="DO43" i="24"/>
  <c r="BJ134" i="24"/>
  <c r="BM134" i="24"/>
  <c r="BP134" i="24"/>
  <c r="BS134" i="24"/>
  <c r="DN43" i="24"/>
  <c r="BI133" i="24"/>
  <c r="BO133" i="24"/>
  <c r="BK133" i="24"/>
  <c r="BN133" i="24"/>
  <c r="BR133" i="24"/>
  <c r="BU133" i="24"/>
  <c r="DP42" i="24"/>
  <c r="BQ133" i="24"/>
  <c r="BT133" i="24"/>
  <c r="DO42" i="24"/>
  <c r="BJ133" i="24"/>
  <c r="BM133" i="24"/>
  <c r="BP133" i="24"/>
  <c r="BS133" i="24"/>
  <c r="DN42" i="24"/>
  <c r="BI132" i="24"/>
  <c r="BO132" i="24"/>
  <c r="BK132" i="24"/>
  <c r="BN132" i="24"/>
  <c r="BR132" i="24"/>
  <c r="BU132" i="24"/>
  <c r="DP41" i="24"/>
  <c r="BQ132" i="24"/>
  <c r="BT132" i="24"/>
  <c r="DO41" i="24"/>
  <c r="BJ132" i="24"/>
  <c r="BM132" i="24"/>
  <c r="BP132" i="24"/>
  <c r="BS132" i="24"/>
  <c r="DN41" i="24"/>
  <c r="BI131" i="24"/>
  <c r="BO131" i="24"/>
  <c r="BK131" i="24"/>
  <c r="BN131" i="24"/>
  <c r="BR131" i="24"/>
  <c r="BU131" i="24"/>
  <c r="DP40" i="24"/>
  <c r="BQ131" i="24"/>
  <c r="BT131" i="24"/>
  <c r="DO40" i="24"/>
  <c r="BJ131" i="24"/>
  <c r="BM131" i="24"/>
  <c r="BP131" i="24"/>
  <c r="BS131" i="24"/>
  <c r="DN40" i="24"/>
  <c r="BI130" i="24"/>
  <c r="BO130" i="24"/>
  <c r="BK130" i="24"/>
  <c r="BN130" i="24"/>
  <c r="BR130" i="24"/>
  <c r="BU130" i="24"/>
  <c r="DP39" i="24"/>
  <c r="BQ130" i="24"/>
  <c r="BT130" i="24"/>
  <c r="DO39" i="24"/>
  <c r="BJ130" i="24"/>
  <c r="BM130" i="24"/>
  <c r="BP130" i="24"/>
  <c r="BS130" i="24"/>
  <c r="DN39" i="24"/>
  <c r="BI129" i="24"/>
  <c r="BO129" i="24"/>
  <c r="BK129" i="24"/>
  <c r="BN129" i="24"/>
  <c r="BR129" i="24"/>
  <c r="BU129" i="24"/>
  <c r="DP38" i="24"/>
  <c r="BQ129" i="24"/>
  <c r="BT129" i="24"/>
  <c r="DO38" i="24"/>
  <c r="BJ129" i="24"/>
  <c r="BM129" i="24"/>
  <c r="BP129" i="24"/>
  <c r="BS129" i="24"/>
  <c r="DN38" i="24"/>
  <c r="BI128" i="24"/>
  <c r="BO128" i="24"/>
  <c r="BK128" i="24"/>
  <c r="BN128" i="24"/>
  <c r="BR128" i="24"/>
  <c r="BU128" i="24"/>
  <c r="DP37" i="24"/>
  <c r="BQ128" i="24"/>
  <c r="BT128" i="24"/>
  <c r="DO37" i="24"/>
  <c r="BJ128" i="24"/>
  <c r="BM128" i="24"/>
  <c r="BP128" i="24"/>
  <c r="BS128" i="24"/>
  <c r="DN37" i="24"/>
  <c r="BI127" i="24"/>
  <c r="BO127" i="24"/>
  <c r="BK127" i="24"/>
  <c r="BN127" i="24"/>
  <c r="BR127" i="24"/>
  <c r="BU127" i="24"/>
  <c r="DP36" i="24"/>
  <c r="BQ127" i="24"/>
  <c r="BT127" i="24"/>
  <c r="DO36" i="24"/>
  <c r="BJ127" i="24"/>
  <c r="BM127" i="24"/>
  <c r="BP127" i="24"/>
  <c r="BS127" i="24"/>
  <c r="DN36" i="24"/>
  <c r="BI126" i="24"/>
  <c r="BO126" i="24"/>
  <c r="BK126" i="24"/>
  <c r="BN126" i="24"/>
  <c r="BR126" i="24"/>
  <c r="BU126" i="24"/>
  <c r="DP35" i="24"/>
  <c r="BQ126" i="24"/>
  <c r="BT126" i="24"/>
  <c r="DO35" i="24"/>
  <c r="BJ126" i="24"/>
  <c r="BM126" i="24"/>
  <c r="BP126" i="24"/>
  <c r="BS126" i="24"/>
  <c r="DN35" i="24"/>
  <c r="BI125" i="24"/>
  <c r="BO125" i="24"/>
  <c r="BK125" i="24"/>
  <c r="BN125" i="24"/>
  <c r="BR125" i="24"/>
  <c r="BU125" i="24"/>
  <c r="DP34" i="24"/>
  <c r="BQ125" i="24"/>
  <c r="BT125" i="24"/>
  <c r="DO34" i="24"/>
  <c r="BJ125" i="24"/>
  <c r="BM125" i="24"/>
  <c r="BP125" i="24"/>
  <c r="BS125" i="24"/>
  <c r="DN34" i="24"/>
  <c r="BQ124" i="24"/>
  <c r="BT124" i="24"/>
  <c r="DO33" i="24"/>
  <c r="BJ124" i="24"/>
  <c r="BM124" i="24"/>
  <c r="BP124" i="24"/>
  <c r="BS124" i="24"/>
  <c r="DN33" i="24"/>
  <c r="BI123" i="24"/>
  <c r="BO123" i="24"/>
  <c r="BK123" i="24"/>
  <c r="BN123" i="24"/>
  <c r="BR123" i="24"/>
  <c r="BU123" i="24"/>
  <c r="DP32" i="24"/>
  <c r="BQ123" i="24"/>
  <c r="BT123" i="24"/>
  <c r="DO32" i="24"/>
  <c r="BJ123" i="24"/>
  <c r="BM123" i="24"/>
  <c r="BP123" i="24"/>
  <c r="BS123" i="24"/>
  <c r="DN32" i="24"/>
  <c r="BI122" i="24"/>
  <c r="BO122" i="24"/>
  <c r="BK122" i="24"/>
  <c r="BN122" i="24"/>
  <c r="BR122" i="24"/>
  <c r="BU122" i="24"/>
  <c r="DP31" i="24"/>
  <c r="BQ122" i="24"/>
  <c r="BT122" i="24"/>
  <c r="DO31" i="24"/>
  <c r="BJ122" i="24"/>
  <c r="BM122" i="24"/>
  <c r="BP122" i="24"/>
  <c r="BS122" i="24"/>
  <c r="DN31" i="24"/>
  <c r="BI121" i="24"/>
  <c r="BO121" i="24"/>
  <c r="BK121" i="24"/>
  <c r="BN121" i="24"/>
  <c r="BR121" i="24"/>
  <c r="BU121" i="24"/>
  <c r="DP30" i="24"/>
  <c r="BQ121" i="24"/>
  <c r="BT121" i="24"/>
  <c r="DO30" i="24"/>
  <c r="BJ121" i="24"/>
  <c r="BM121" i="24"/>
  <c r="BP121" i="24"/>
  <c r="BS121" i="24"/>
  <c r="DN30" i="24"/>
  <c r="BI120" i="24"/>
  <c r="BO120" i="24"/>
  <c r="BK120" i="24"/>
  <c r="BN120" i="24"/>
  <c r="BR120" i="24"/>
  <c r="BU120" i="24"/>
  <c r="DP29" i="24"/>
  <c r="BQ120" i="24"/>
  <c r="BT120" i="24"/>
  <c r="DO29" i="24"/>
  <c r="BJ120" i="24"/>
  <c r="BM120" i="24"/>
  <c r="BP120" i="24"/>
  <c r="BS120" i="24"/>
  <c r="DN29" i="24"/>
  <c r="BI119" i="24"/>
  <c r="BO119" i="24"/>
  <c r="BK119" i="24"/>
  <c r="BN119" i="24"/>
  <c r="BR119" i="24"/>
  <c r="BU119" i="24"/>
  <c r="DP28" i="24"/>
  <c r="BQ119" i="24"/>
  <c r="BT119" i="24"/>
  <c r="DO28" i="24"/>
  <c r="BJ119" i="24"/>
  <c r="BM119" i="24"/>
  <c r="BP119" i="24"/>
  <c r="BS119" i="24"/>
  <c r="DN28" i="24"/>
  <c r="BI118" i="24"/>
  <c r="BO118" i="24"/>
  <c r="BK118" i="24"/>
  <c r="BN118" i="24"/>
  <c r="BR118" i="24"/>
  <c r="BU118" i="24"/>
  <c r="DP27" i="24"/>
  <c r="BQ118" i="24"/>
  <c r="BT118" i="24"/>
  <c r="DO27" i="24"/>
  <c r="BJ118" i="24"/>
  <c r="BM118" i="24"/>
  <c r="BP118" i="24"/>
  <c r="BS118" i="24"/>
  <c r="DN27" i="24"/>
  <c r="BI117" i="24"/>
  <c r="BO117" i="24"/>
  <c r="BK117" i="24"/>
  <c r="BN117" i="24"/>
  <c r="BR117" i="24"/>
  <c r="BU117" i="24"/>
  <c r="DP26" i="24"/>
  <c r="BQ117" i="24"/>
  <c r="BT117" i="24"/>
  <c r="DO26" i="24"/>
  <c r="BJ117" i="24"/>
  <c r="BM117" i="24"/>
  <c r="BP117" i="24"/>
  <c r="BS117" i="24"/>
  <c r="DN26" i="24"/>
  <c r="BI116" i="24"/>
  <c r="BO116" i="24"/>
  <c r="BK116" i="24"/>
  <c r="BN116" i="24"/>
  <c r="BR116" i="24"/>
  <c r="BU116" i="24"/>
  <c r="DP25" i="24"/>
  <c r="BQ116" i="24"/>
  <c r="BT116" i="24"/>
  <c r="DO25" i="24"/>
  <c r="BJ116" i="24"/>
  <c r="BM116" i="24"/>
  <c r="BP116" i="24"/>
  <c r="BS116" i="24"/>
  <c r="DN25" i="24"/>
  <c r="BI115" i="24"/>
  <c r="BO115" i="24"/>
  <c r="BK115" i="24"/>
  <c r="BN115" i="24"/>
  <c r="BR115" i="24"/>
  <c r="BU115" i="24"/>
  <c r="DP24" i="24"/>
  <c r="BQ115" i="24"/>
  <c r="BT115" i="24"/>
  <c r="DO24" i="24"/>
  <c r="BJ115" i="24"/>
  <c r="BM115" i="24"/>
  <c r="BP115" i="24"/>
  <c r="BS115" i="24"/>
  <c r="DN24" i="24"/>
  <c r="BI114" i="24"/>
  <c r="BO114" i="24"/>
  <c r="BK114" i="24"/>
  <c r="BN114" i="24"/>
  <c r="BR114" i="24"/>
  <c r="BU114" i="24"/>
  <c r="DP23" i="24"/>
  <c r="BQ114" i="24"/>
  <c r="BT114" i="24"/>
  <c r="DO23" i="24"/>
  <c r="BJ114" i="24"/>
  <c r="BM114" i="24"/>
  <c r="BP114" i="24"/>
  <c r="BS114" i="24"/>
  <c r="DN23" i="24"/>
  <c r="BI113" i="24"/>
  <c r="BO113" i="24"/>
  <c r="BK113" i="24"/>
  <c r="BN113" i="24"/>
  <c r="BR113" i="24"/>
  <c r="BU113" i="24"/>
  <c r="DP22" i="24"/>
  <c r="BQ113" i="24"/>
  <c r="BT113" i="24"/>
  <c r="DO22" i="24"/>
  <c r="BJ113" i="24"/>
  <c r="BM113" i="24"/>
  <c r="BP113" i="24"/>
  <c r="BS113" i="24"/>
  <c r="DN22" i="24"/>
  <c r="BI112" i="24"/>
  <c r="BO112" i="24"/>
  <c r="BK112" i="24"/>
  <c r="BN112" i="24"/>
  <c r="BR112" i="24"/>
  <c r="BU112" i="24"/>
  <c r="DP21" i="24"/>
  <c r="BQ112" i="24"/>
  <c r="BT112" i="24"/>
  <c r="DO21" i="24"/>
  <c r="BJ112" i="24"/>
  <c r="BM112" i="24"/>
  <c r="BP112" i="24"/>
  <c r="BS112" i="24"/>
  <c r="DN21" i="24"/>
  <c r="BI111" i="24"/>
  <c r="BO111" i="24"/>
  <c r="BK111" i="24"/>
  <c r="BN111" i="24"/>
  <c r="BR111" i="24"/>
  <c r="BU111" i="24"/>
  <c r="DP20" i="24"/>
  <c r="BQ111" i="24"/>
  <c r="BT111" i="24"/>
  <c r="DO20" i="24"/>
  <c r="BJ111" i="24"/>
  <c r="BM111" i="24"/>
  <c r="BP111" i="24"/>
  <c r="BS111" i="24"/>
  <c r="DN20" i="24"/>
  <c r="BI110" i="24"/>
  <c r="BO110" i="24"/>
  <c r="BK110" i="24"/>
  <c r="BN110" i="24"/>
  <c r="BR110" i="24"/>
  <c r="BU110" i="24"/>
  <c r="DP19" i="24"/>
  <c r="BQ110" i="24"/>
  <c r="BT110" i="24"/>
  <c r="DO19" i="24"/>
  <c r="BJ110" i="24"/>
  <c r="BM110" i="24"/>
  <c r="BP110" i="24"/>
  <c r="BS110" i="24"/>
  <c r="DN19" i="24"/>
  <c r="BI109" i="24"/>
  <c r="BO109" i="24"/>
  <c r="BK109" i="24"/>
  <c r="BN109" i="24"/>
  <c r="BR109" i="24"/>
  <c r="BU109" i="24"/>
  <c r="DP18" i="24"/>
  <c r="BQ109" i="24"/>
  <c r="BT109" i="24"/>
  <c r="DO18" i="24"/>
  <c r="BJ109" i="24"/>
  <c r="BM109" i="24"/>
  <c r="BP109" i="24"/>
  <c r="BS109" i="24"/>
  <c r="DN18" i="24"/>
  <c r="BI108" i="24"/>
  <c r="BO108" i="24"/>
  <c r="BK108" i="24"/>
  <c r="BN108" i="24"/>
  <c r="BR108" i="24"/>
  <c r="BU108" i="24"/>
  <c r="DP17" i="24"/>
  <c r="BQ108" i="24"/>
  <c r="BT108" i="24"/>
  <c r="DO17" i="24"/>
  <c r="BJ108" i="24"/>
  <c r="BM108" i="24"/>
  <c r="BP108" i="24"/>
  <c r="BS108" i="24"/>
  <c r="DN17" i="24"/>
  <c r="BI107" i="24"/>
  <c r="BO107" i="24"/>
  <c r="BK107" i="24"/>
  <c r="BN107" i="24"/>
  <c r="BR107" i="24"/>
  <c r="BU107" i="24"/>
  <c r="DP16" i="24"/>
  <c r="BQ107" i="24"/>
  <c r="BT107" i="24"/>
  <c r="DO16" i="24"/>
  <c r="BJ107" i="24"/>
  <c r="BM107" i="24"/>
  <c r="BP107" i="24"/>
  <c r="BS107" i="24"/>
  <c r="DN16" i="24"/>
  <c r="BI106" i="24"/>
  <c r="BO106" i="24"/>
  <c r="BK106" i="24"/>
  <c r="BN106" i="24"/>
  <c r="BR106" i="24"/>
  <c r="BU106" i="24"/>
  <c r="DP15" i="24"/>
  <c r="BQ106" i="24"/>
  <c r="BT106" i="24"/>
  <c r="DO15" i="24"/>
  <c r="BJ106" i="24"/>
  <c r="BM106" i="24"/>
  <c r="BP106" i="24"/>
  <c r="BS106" i="24"/>
  <c r="DN15" i="24"/>
  <c r="BI105" i="24"/>
  <c r="BO105" i="24"/>
  <c r="BK105" i="24"/>
  <c r="BN105" i="24"/>
  <c r="BR105" i="24"/>
  <c r="BU105" i="24"/>
  <c r="DP14" i="24"/>
  <c r="BQ105" i="24"/>
  <c r="BT105" i="24"/>
  <c r="DO14" i="24"/>
  <c r="BJ105" i="24"/>
  <c r="BM105" i="24"/>
  <c r="BP105" i="24"/>
  <c r="BS105" i="24"/>
  <c r="DN14" i="24"/>
  <c r="CK13" i="24"/>
  <c r="G14" i="24"/>
  <c r="E14" i="24"/>
  <c r="CJ13" i="24"/>
  <c r="CL13" i="24"/>
  <c r="G13" i="24"/>
  <c r="E119" i="24"/>
  <c r="D119" i="24"/>
  <c r="C119" i="24"/>
  <c r="B119" i="24"/>
  <c r="E118" i="24"/>
  <c r="D118" i="24"/>
  <c r="C118" i="24"/>
  <c r="B118" i="24"/>
  <c r="E117" i="24"/>
  <c r="D117" i="24"/>
  <c r="C117" i="24"/>
  <c r="B117" i="24"/>
  <c r="E116" i="24"/>
  <c r="D116" i="24"/>
  <c r="C116" i="24"/>
  <c r="B116" i="24"/>
  <c r="E115" i="24"/>
  <c r="D115" i="24"/>
  <c r="C115" i="24"/>
  <c r="B115" i="24"/>
  <c r="E114" i="24"/>
  <c r="D114" i="24"/>
  <c r="C114" i="24"/>
  <c r="B114" i="24"/>
  <c r="E113" i="24"/>
  <c r="D113" i="24"/>
  <c r="C113" i="24"/>
  <c r="B113" i="24"/>
  <c r="E112" i="24"/>
  <c r="D112" i="24"/>
  <c r="C112" i="24"/>
  <c r="B112" i="24"/>
  <c r="E111" i="24"/>
  <c r="D111" i="24"/>
  <c r="C111" i="24"/>
  <c r="B111" i="24"/>
  <c r="E110" i="24"/>
  <c r="D110" i="24"/>
  <c r="C110" i="24"/>
  <c r="B110" i="24"/>
  <c r="E109" i="24"/>
  <c r="D109" i="24"/>
  <c r="C109" i="24"/>
  <c r="B109" i="24"/>
  <c r="E108" i="24"/>
  <c r="D108" i="24"/>
  <c r="C108" i="24"/>
  <c r="B108" i="24"/>
  <c r="E107" i="24"/>
  <c r="D107" i="24"/>
  <c r="C107" i="24"/>
  <c r="B107" i="24"/>
  <c r="E106" i="24"/>
  <c r="D106" i="24"/>
  <c r="C106" i="24"/>
  <c r="B106" i="24"/>
  <c r="E105" i="24"/>
  <c r="D105" i="24"/>
  <c r="C105" i="24"/>
  <c r="B105" i="24"/>
  <c r="E104" i="24"/>
  <c r="D104" i="24"/>
  <c r="C104" i="24"/>
  <c r="B104" i="24"/>
  <c r="E103" i="24"/>
  <c r="D103" i="24"/>
  <c r="C103" i="24"/>
  <c r="B103" i="24"/>
  <c r="E102" i="24"/>
  <c r="D102" i="24"/>
  <c r="C102" i="24"/>
  <c r="B102" i="24"/>
  <c r="E101" i="24"/>
  <c r="D101" i="24"/>
  <c r="C101" i="24"/>
  <c r="B101" i="24"/>
  <c r="E100" i="24"/>
  <c r="D100" i="24"/>
  <c r="C100" i="24"/>
  <c r="B100" i="24"/>
  <c r="E99" i="24"/>
  <c r="D99" i="24"/>
  <c r="C99" i="24"/>
  <c r="B99" i="24"/>
  <c r="E98" i="24"/>
  <c r="D98" i="24"/>
  <c r="C98" i="24"/>
  <c r="B98" i="24"/>
  <c r="E97" i="24"/>
  <c r="D97" i="24"/>
  <c r="C97" i="24"/>
  <c r="B97" i="24"/>
  <c r="E96" i="24"/>
  <c r="D96" i="24"/>
  <c r="C96" i="24"/>
  <c r="B96" i="24"/>
  <c r="E95" i="24"/>
  <c r="D95" i="24"/>
  <c r="C95" i="24"/>
  <c r="B95" i="24"/>
  <c r="E94" i="24"/>
  <c r="D94" i="24"/>
  <c r="C94" i="24"/>
  <c r="B94" i="24"/>
  <c r="E93" i="24"/>
  <c r="D93" i="24"/>
  <c r="C93" i="24"/>
  <c r="B93" i="24"/>
  <c r="E92" i="24"/>
  <c r="D92" i="24"/>
  <c r="C92" i="24"/>
  <c r="B92" i="24"/>
  <c r="E91" i="24"/>
  <c r="D91" i="24"/>
  <c r="C91" i="24"/>
  <c r="B91" i="24"/>
  <c r="E90" i="24"/>
  <c r="D90" i="24"/>
  <c r="C90" i="24"/>
  <c r="B90" i="24"/>
  <c r="E89" i="24"/>
  <c r="D89" i="24"/>
  <c r="C89" i="24"/>
  <c r="B89" i="24"/>
  <c r="E88" i="24"/>
  <c r="D88" i="24"/>
  <c r="C88" i="24"/>
  <c r="B88" i="24"/>
  <c r="E87" i="24"/>
  <c r="D87" i="24"/>
  <c r="C87" i="24"/>
  <c r="B87" i="24"/>
  <c r="E86" i="24"/>
  <c r="D86" i="24"/>
  <c r="C86" i="24"/>
  <c r="B86" i="24"/>
  <c r="E85" i="24"/>
  <c r="D85" i="24"/>
  <c r="C85" i="24"/>
  <c r="B85" i="24"/>
  <c r="E84" i="24"/>
  <c r="D84" i="24"/>
  <c r="C84" i="24"/>
  <c r="B84" i="24"/>
  <c r="E83" i="24"/>
  <c r="D83" i="24"/>
  <c r="C83" i="24"/>
  <c r="B83" i="24"/>
  <c r="E82" i="24"/>
  <c r="D82" i="24"/>
  <c r="C82" i="24"/>
  <c r="B82" i="24"/>
  <c r="E81" i="24"/>
  <c r="D81" i="24"/>
  <c r="C81" i="24"/>
  <c r="B81" i="24"/>
  <c r="E80" i="24"/>
  <c r="D80" i="24"/>
  <c r="C80" i="24"/>
  <c r="B80" i="24"/>
  <c r="E79" i="24"/>
  <c r="D79" i="24"/>
  <c r="C79" i="24"/>
  <c r="B79" i="24"/>
  <c r="E78" i="24"/>
  <c r="D78" i="24"/>
  <c r="C78" i="24"/>
  <c r="B78" i="24"/>
  <c r="E77" i="24"/>
  <c r="D77" i="24"/>
  <c r="C77" i="24"/>
  <c r="B77" i="24"/>
  <c r="E76" i="24"/>
  <c r="D76" i="24"/>
  <c r="C76" i="24"/>
  <c r="B76" i="24"/>
  <c r="E75" i="24"/>
  <c r="D75" i="24"/>
  <c r="C75" i="24"/>
  <c r="B75" i="24"/>
  <c r="E74" i="24"/>
  <c r="D74" i="24"/>
  <c r="C74" i="24"/>
  <c r="B74" i="24"/>
  <c r="E73" i="24"/>
  <c r="D73" i="24"/>
  <c r="C73" i="24"/>
  <c r="B73" i="24"/>
  <c r="E72" i="24"/>
  <c r="D72" i="24"/>
  <c r="C72" i="24"/>
  <c r="B72" i="24"/>
  <c r="E71" i="24"/>
  <c r="D71" i="24"/>
  <c r="C71" i="24"/>
  <c r="B71" i="24"/>
  <c r="E70" i="24"/>
  <c r="D70" i="24"/>
  <c r="C70" i="24"/>
  <c r="B70" i="24"/>
  <c r="E69" i="24"/>
  <c r="D69" i="24"/>
  <c r="C69" i="24"/>
  <c r="B69" i="24"/>
  <c r="E68" i="24"/>
  <c r="D68" i="24"/>
  <c r="C68" i="24"/>
  <c r="B68" i="24"/>
  <c r="E67" i="24"/>
  <c r="D67" i="24"/>
  <c r="C67" i="24"/>
  <c r="B67" i="24"/>
  <c r="E66" i="24"/>
  <c r="D66" i="24"/>
  <c r="C66" i="24"/>
  <c r="B66" i="24"/>
  <c r="E65" i="24"/>
  <c r="D65" i="24"/>
  <c r="C65" i="24"/>
  <c r="B65" i="24"/>
  <c r="E64" i="24"/>
  <c r="D64" i="24"/>
  <c r="C64" i="24"/>
  <c r="B64" i="24"/>
  <c r="E63" i="24"/>
  <c r="D63" i="24"/>
  <c r="C63" i="24"/>
  <c r="B63" i="24"/>
  <c r="E62" i="24"/>
  <c r="D62" i="24"/>
  <c r="C62" i="24"/>
  <c r="B62" i="24"/>
  <c r="E61" i="24"/>
  <c r="D61" i="24"/>
  <c r="C61" i="24"/>
  <c r="B61" i="24"/>
  <c r="E60" i="24"/>
  <c r="D60" i="24"/>
  <c r="C60" i="24"/>
  <c r="B60" i="24"/>
  <c r="E59" i="24"/>
  <c r="D59" i="24"/>
  <c r="C59" i="24"/>
  <c r="B59" i="24"/>
  <c r="E58" i="24"/>
  <c r="D58" i="24"/>
  <c r="C58" i="24"/>
  <c r="B58" i="24"/>
  <c r="E57" i="24"/>
  <c r="D57" i="24"/>
  <c r="C57" i="24"/>
  <c r="B57" i="24"/>
  <c r="E56" i="24"/>
  <c r="D56" i="24"/>
  <c r="C56" i="24"/>
  <c r="B56" i="24"/>
  <c r="E55" i="24"/>
  <c r="D55" i="24"/>
  <c r="C55" i="24"/>
  <c r="B55" i="24"/>
  <c r="E54" i="24"/>
  <c r="D54" i="24"/>
  <c r="C54" i="24"/>
  <c r="B54" i="24"/>
  <c r="E53" i="24"/>
  <c r="D53" i="24"/>
  <c r="C53" i="24"/>
  <c r="B53" i="24"/>
  <c r="E52" i="24"/>
  <c r="D52" i="24"/>
  <c r="C52" i="24"/>
  <c r="B52" i="24"/>
  <c r="E51" i="24"/>
  <c r="D51" i="24"/>
  <c r="C51" i="24"/>
  <c r="B51" i="24"/>
  <c r="E50" i="24"/>
  <c r="D50" i="24"/>
  <c r="C50" i="24"/>
  <c r="B50" i="24"/>
  <c r="E49" i="24"/>
  <c r="D49" i="24"/>
  <c r="C49" i="24"/>
  <c r="B49" i="24"/>
  <c r="E48" i="24"/>
  <c r="D48" i="24"/>
  <c r="C48" i="24"/>
  <c r="B48" i="24"/>
  <c r="E47" i="24"/>
  <c r="D47" i="24"/>
  <c r="C47" i="24"/>
  <c r="B47" i="24"/>
  <c r="E46" i="24"/>
  <c r="D46" i="24"/>
  <c r="C46" i="24"/>
  <c r="B46" i="24"/>
  <c r="E45" i="24"/>
  <c r="D45" i="24"/>
  <c r="C45" i="24"/>
  <c r="B45" i="24"/>
  <c r="E44" i="24"/>
  <c r="D44" i="24"/>
  <c r="C44" i="24"/>
  <c r="B44" i="24"/>
  <c r="E43" i="24"/>
  <c r="D43" i="24"/>
  <c r="C43" i="24"/>
  <c r="B43" i="24"/>
  <c r="E42" i="24"/>
  <c r="D42" i="24"/>
  <c r="C42" i="24"/>
  <c r="B42" i="24"/>
  <c r="E41" i="24"/>
  <c r="D41" i="24"/>
  <c r="C41" i="24"/>
  <c r="B41" i="24"/>
  <c r="E40" i="24"/>
  <c r="D40" i="24"/>
  <c r="C40" i="24"/>
  <c r="B40" i="24"/>
  <c r="E39" i="24"/>
  <c r="D39" i="24"/>
  <c r="C39" i="24"/>
  <c r="B39" i="24"/>
  <c r="E38" i="24"/>
  <c r="D38" i="24"/>
  <c r="C38" i="24"/>
  <c r="B38" i="24"/>
  <c r="E37" i="24"/>
  <c r="D37" i="24"/>
  <c r="C37" i="24"/>
  <c r="B37" i="24"/>
  <c r="E36" i="24"/>
  <c r="D36" i="24"/>
  <c r="C36" i="24"/>
  <c r="B36" i="24"/>
  <c r="AK196" i="24"/>
  <c r="AL196" i="24"/>
  <c r="AM196" i="24"/>
  <c r="AN196" i="24"/>
  <c r="BT196" i="24"/>
  <c r="BU196" i="24"/>
  <c r="BV196" i="24"/>
  <c r="BW196" i="24"/>
  <c r="BT197" i="24"/>
  <c r="BU197" i="24"/>
  <c r="E13" i="24"/>
  <c r="AB20" i="24"/>
  <c r="AW105" i="24"/>
  <c r="BC105" i="24"/>
  <c r="AZ105" i="24"/>
  <c r="AW150" i="24"/>
  <c r="BC150" i="24"/>
  <c r="AZ150" i="24"/>
  <c r="AW152" i="24"/>
  <c r="BC152" i="24"/>
  <c r="AZ152" i="24"/>
  <c r="AW154" i="24"/>
  <c r="BC154" i="24"/>
  <c r="AZ154" i="24"/>
  <c r="AW158" i="24"/>
  <c r="BC158" i="24"/>
  <c r="AZ158" i="24"/>
  <c r="AW157" i="24"/>
  <c r="BC157" i="24"/>
  <c r="AZ157" i="24"/>
  <c r="AW156" i="24"/>
  <c r="BC156" i="24"/>
  <c r="AZ156" i="24"/>
  <c r="AW155" i="24"/>
  <c r="BC155" i="24"/>
  <c r="AZ155" i="24"/>
  <c r="AW153" i="24"/>
  <c r="BC153" i="24"/>
  <c r="AZ153" i="24"/>
  <c r="AW151" i="24"/>
  <c r="BC151" i="24"/>
  <c r="AZ151" i="24"/>
  <c r="AW149" i="24"/>
  <c r="BC149" i="24"/>
  <c r="AZ149" i="24"/>
  <c r="AW148" i="24"/>
  <c r="BC148" i="24"/>
  <c r="AZ148" i="24"/>
  <c r="AW147" i="24"/>
  <c r="BC147" i="24"/>
  <c r="AZ147" i="24"/>
  <c r="AW146" i="24"/>
  <c r="BC146" i="24"/>
  <c r="AZ146" i="24"/>
  <c r="AW145" i="24"/>
  <c r="BC145" i="24"/>
  <c r="AZ145" i="24"/>
  <c r="AW144" i="24"/>
  <c r="BC144" i="24"/>
  <c r="AZ144" i="24"/>
  <c r="AW143" i="24"/>
  <c r="BC143" i="24"/>
  <c r="AZ143" i="24"/>
  <c r="AW142" i="24"/>
  <c r="BC142" i="24"/>
  <c r="AZ142" i="24"/>
  <c r="AW141" i="24"/>
  <c r="BC141" i="24"/>
  <c r="AZ141" i="24"/>
  <c r="AW140" i="24"/>
  <c r="BC140" i="24"/>
  <c r="AZ140" i="24"/>
  <c r="AW139" i="24"/>
  <c r="BC139" i="24"/>
  <c r="AZ139" i="24"/>
  <c r="AW138" i="24"/>
  <c r="BC138" i="24"/>
  <c r="AZ138" i="24"/>
  <c r="AW137" i="24"/>
  <c r="BC137" i="24"/>
  <c r="AZ137" i="24"/>
  <c r="AW136" i="24"/>
  <c r="BC136" i="24"/>
  <c r="AZ136" i="24"/>
  <c r="AW135" i="24"/>
  <c r="BC135" i="24"/>
  <c r="AZ135" i="24"/>
  <c r="AW134" i="24"/>
  <c r="BC134" i="24"/>
  <c r="AZ134" i="24"/>
  <c r="AW133" i="24"/>
  <c r="BC133" i="24"/>
  <c r="AZ133" i="24"/>
  <c r="AW132" i="24"/>
  <c r="BC132" i="24"/>
  <c r="AZ132" i="24"/>
  <c r="AW131" i="24"/>
  <c r="BC131" i="24"/>
  <c r="AZ131" i="24"/>
  <c r="AW130" i="24"/>
  <c r="BC130" i="24"/>
  <c r="AZ130" i="24"/>
  <c r="AW129" i="24"/>
  <c r="BC129" i="24"/>
  <c r="AZ129" i="24"/>
  <c r="AW128" i="24"/>
  <c r="BC128" i="24"/>
  <c r="AZ128" i="24"/>
  <c r="AW127" i="24"/>
  <c r="BC127" i="24"/>
  <c r="AZ127" i="24"/>
  <c r="AW126" i="24"/>
  <c r="BC126" i="24"/>
  <c r="AZ126" i="24"/>
  <c r="AW125" i="24"/>
  <c r="BC125" i="24"/>
  <c r="AZ125" i="24"/>
  <c r="AW124" i="24"/>
  <c r="BC124" i="24"/>
  <c r="AZ124" i="24"/>
  <c r="AW123" i="24"/>
  <c r="BC123" i="24"/>
  <c r="AZ123" i="24"/>
  <c r="AW122" i="24"/>
  <c r="BC122" i="24"/>
  <c r="AZ122" i="24"/>
  <c r="AW121" i="24"/>
  <c r="BC121" i="24"/>
  <c r="AZ121" i="24"/>
  <c r="AW120" i="24"/>
  <c r="BC120" i="24"/>
  <c r="AZ120" i="24"/>
  <c r="AW119" i="24"/>
  <c r="BC119" i="24"/>
  <c r="AZ119" i="24"/>
  <c r="AW118" i="24"/>
  <c r="BC118" i="24"/>
  <c r="AZ118" i="24"/>
  <c r="AW117" i="24"/>
  <c r="BC117" i="24"/>
  <c r="AZ117" i="24"/>
  <c r="AW116" i="24"/>
  <c r="BC116" i="24"/>
  <c r="AZ116" i="24"/>
  <c r="AW115" i="24"/>
  <c r="BC115" i="24"/>
  <c r="AZ115" i="24"/>
  <c r="AW114" i="24"/>
  <c r="BC114" i="24"/>
  <c r="AZ114" i="24"/>
  <c r="AW113" i="24"/>
  <c r="BC113" i="24"/>
  <c r="AZ113" i="24"/>
  <c r="AW112" i="24"/>
  <c r="BC112" i="24"/>
  <c r="AZ112" i="24"/>
  <c r="AW111" i="24"/>
  <c r="BC111" i="24"/>
  <c r="AZ111" i="24"/>
  <c r="AW110" i="24"/>
  <c r="BC110" i="24"/>
  <c r="AZ110" i="24"/>
  <c r="AW109" i="24"/>
  <c r="BC109" i="24"/>
  <c r="AZ109" i="24"/>
  <c r="AW108" i="24"/>
  <c r="BC108" i="24"/>
  <c r="AZ108" i="24"/>
  <c r="AW107" i="24"/>
  <c r="BC107" i="24"/>
  <c r="AZ107" i="24"/>
  <c r="AW106" i="24"/>
  <c r="BC106" i="24"/>
  <c r="AZ106" i="24"/>
  <c r="AW159" i="24"/>
  <c r="BC159" i="24"/>
  <c r="AZ159" i="24"/>
  <c r="CA107" i="24"/>
  <c r="CA112" i="24"/>
  <c r="AV151" i="24"/>
  <c r="BB151" i="24"/>
  <c r="AY151" i="24"/>
  <c r="BG151" i="24"/>
  <c r="N82" i="24"/>
  <c r="AI60" i="24"/>
  <c r="DS60" i="24"/>
  <c r="N55" i="24"/>
  <c r="AI33" i="24"/>
  <c r="DS33" i="24"/>
  <c r="N28" i="24"/>
  <c r="BY105" i="24"/>
  <c r="BZ107" i="24"/>
  <c r="BZ112" i="24"/>
  <c r="AU151" i="24"/>
  <c r="BA151" i="24"/>
  <c r="AX151" i="24"/>
  <c r="BF151" i="24"/>
  <c r="M82" i="24"/>
  <c r="AH60" i="24"/>
  <c r="DR60" i="24"/>
  <c r="M55" i="24"/>
  <c r="AH33" i="24"/>
  <c r="DR33" i="24"/>
  <c r="BX105" i="24"/>
  <c r="BE151" i="24"/>
  <c r="L82" i="24"/>
  <c r="AG60" i="24"/>
  <c r="DQ60" i="24"/>
  <c r="L55" i="24"/>
  <c r="AG33" i="24"/>
  <c r="DQ33" i="24"/>
  <c r="BW105" i="24"/>
  <c r="AV105" i="24"/>
  <c r="BB105" i="24"/>
  <c r="AY105" i="24"/>
  <c r="BE105" i="24"/>
  <c r="L36" i="24"/>
  <c r="AG14" i="24"/>
  <c r="AS14" i="24"/>
  <c r="L63" i="24"/>
  <c r="AG41" i="24"/>
  <c r="AS41" i="24"/>
  <c r="AN224" i="24"/>
  <c r="AU105" i="24"/>
  <c r="BA105" i="24"/>
  <c r="AX105" i="24"/>
  <c r="BF105" i="24"/>
  <c r="M36" i="24"/>
  <c r="BG105" i="24"/>
  <c r="N36" i="24"/>
  <c r="AX14" i="24"/>
  <c r="AX15" i="24"/>
  <c r="M63" i="24"/>
  <c r="N63" i="24"/>
  <c r="AX41" i="24"/>
  <c r="AM224" i="24"/>
  <c r="AH14" i="24"/>
  <c r="AI14" i="24"/>
  <c r="AK14" i="24"/>
  <c r="BF14" i="24"/>
  <c r="BG14" i="24"/>
  <c r="BH14" i="24"/>
  <c r="BI14" i="24"/>
  <c r="BK14" i="24"/>
  <c r="BJ14" i="24"/>
  <c r="BL14" i="24"/>
  <c r="BM14" i="24"/>
  <c r="BZ14" i="24"/>
  <c r="BW197" i="24"/>
  <c r="AU172" i="24"/>
  <c r="BA172" i="24"/>
  <c r="AX172" i="24"/>
  <c r="AV172" i="24"/>
  <c r="BB172" i="24"/>
  <c r="AY172" i="24"/>
  <c r="BF172" i="24"/>
  <c r="M103" i="24"/>
  <c r="AH81" i="24"/>
  <c r="BG172" i="24"/>
  <c r="N103" i="24"/>
  <c r="AI81" i="24"/>
  <c r="AK81" i="24"/>
  <c r="AU160" i="24"/>
  <c r="BA160" i="24"/>
  <c r="AX160" i="24"/>
  <c r="AV160" i="24"/>
  <c r="BB160" i="24"/>
  <c r="AY160" i="24"/>
  <c r="BF160" i="24"/>
  <c r="M91" i="24"/>
  <c r="AH69" i="24"/>
  <c r="BG160" i="24"/>
  <c r="N91" i="24"/>
  <c r="AI69" i="24"/>
  <c r="DF69" i="24"/>
  <c r="M15" i="24"/>
  <c r="AU163" i="24"/>
  <c r="BA163" i="24"/>
  <c r="AX163" i="24"/>
  <c r="AV163" i="24"/>
  <c r="BB163" i="24"/>
  <c r="AY163" i="24"/>
  <c r="BF163" i="24"/>
  <c r="M94" i="24"/>
  <c r="AH72" i="24"/>
  <c r="BG163" i="24"/>
  <c r="N94" i="24"/>
  <c r="AI72" i="24"/>
  <c r="DF72" i="24"/>
  <c r="N15" i="24"/>
  <c r="BE163" i="24"/>
  <c r="L94" i="24"/>
  <c r="AG72" i="24"/>
  <c r="AS72" i="24"/>
  <c r="CJ72" i="24"/>
  <c r="DC72" i="24"/>
  <c r="DE72" i="24"/>
  <c r="N16" i="24"/>
  <c r="AU166" i="24"/>
  <c r="BA166" i="24"/>
  <c r="AX166" i="24"/>
  <c r="AV166" i="24"/>
  <c r="BB166" i="24"/>
  <c r="AY166" i="24"/>
  <c r="BF166" i="24"/>
  <c r="M97" i="24"/>
  <c r="AH75" i="24"/>
  <c r="BG166" i="24"/>
  <c r="N97" i="24"/>
  <c r="AI75" i="24"/>
  <c r="DF75" i="24"/>
  <c r="O15" i="24"/>
  <c r="BE166" i="24"/>
  <c r="L97" i="24"/>
  <c r="AG75" i="24"/>
  <c r="AS75" i="24"/>
  <c r="CJ75" i="24"/>
  <c r="DC75" i="24"/>
  <c r="DE75" i="24"/>
  <c r="O16" i="24"/>
  <c r="AU158" i="24"/>
  <c r="BA158" i="24"/>
  <c r="AX158" i="24"/>
  <c r="AV158" i="24"/>
  <c r="BB158" i="24"/>
  <c r="AY158" i="24"/>
  <c r="BF158" i="24"/>
  <c r="M89" i="24"/>
  <c r="BG158" i="24"/>
  <c r="N89" i="24"/>
  <c r="AX67" i="24"/>
  <c r="M88" i="24"/>
  <c r="N88" i="24"/>
  <c r="AX66" i="24"/>
  <c r="M62" i="24"/>
  <c r="N62" i="24"/>
  <c r="AX40" i="24"/>
  <c r="AM223" i="24"/>
  <c r="AH67" i="24"/>
  <c r="AT67" i="24"/>
  <c r="AI67" i="24"/>
  <c r="AU67" i="24"/>
  <c r="AJ67" i="24"/>
  <c r="AV67" i="24"/>
  <c r="AW67" i="24"/>
  <c r="AH66" i="24"/>
  <c r="AT66" i="24"/>
  <c r="AI66" i="24"/>
  <c r="AU66" i="24"/>
  <c r="AJ66" i="24"/>
  <c r="AV66" i="24"/>
  <c r="AW66" i="24"/>
  <c r="AH40" i="24"/>
  <c r="AT40" i="24"/>
  <c r="AI40" i="24"/>
  <c r="AU40" i="24"/>
  <c r="AJ40" i="24"/>
  <c r="AV40" i="24"/>
  <c r="AW40" i="24"/>
  <c r="AL223" i="24"/>
  <c r="BE158" i="24"/>
  <c r="L89" i="24"/>
  <c r="AG67" i="24"/>
  <c r="AS67" i="24"/>
  <c r="CP67" i="24"/>
  <c r="L88" i="24"/>
  <c r="AG66" i="24"/>
  <c r="AS66" i="24"/>
  <c r="CP66" i="24"/>
  <c r="L62" i="24"/>
  <c r="AG40" i="24"/>
  <c r="AS40" i="24"/>
  <c r="CP40" i="24"/>
  <c r="AK223" i="24"/>
  <c r="AU157" i="24"/>
  <c r="BA157" i="24"/>
  <c r="AX157" i="24"/>
  <c r="AV157" i="24"/>
  <c r="BB157" i="24"/>
  <c r="AY157" i="24"/>
  <c r="BF157" i="24"/>
  <c r="BG157" i="24"/>
  <c r="AM250" i="24"/>
  <c r="AT64" i="24"/>
  <c r="AU64" i="24"/>
  <c r="AJ64" i="24"/>
  <c r="AV64" i="24"/>
  <c r="AW64" i="24"/>
  <c r="AL250" i="24"/>
  <c r="BE157" i="24"/>
  <c r="CP64" i="24"/>
  <c r="AK250" i="24"/>
  <c r="AU156" i="24"/>
  <c r="BA156" i="24"/>
  <c r="AX156" i="24"/>
  <c r="AV156" i="24"/>
  <c r="BB156" i="24"/>
  <c r="AY156" i="24"/>
  <c r="BF156" i="24"/>
  <c r="M87" i="24"/>
  <c r="BG156" i="24"/>
  <c r="N87" i="24"/>
  <c r="AX65" i="24"/>
  <c r="M84" i="24"/>
  <c r="N84" i="24"/>
  <c r="AX62" i="24"/>
  <c r="M61" i="24"/>
  <c r="N61" i="24"/>
  <c r="AX39" i="24"/>
  <c r="AM222" i="24"/>
  <c r="BE156" i="24"/>
  <c r="L87" i="24"/>
  <c r="AG65" i="24"/>
  <c r="AS65" i="24"/>
  <c r="AH65" i="24"/>
  <c r="AT65" i="24"/>
  <c r="AI65" i="24"/>
  <c r="AU65" i="24"/>
  <c r="CP65" i="24"/>
  <c r="L84" i="24"/>
  <c r="AG62" i="24"/>
  <c r="AS62" i="24"/>
  <c r="AH62" i="24"/>
  <c r="AT62" i="24"/>
  <c r="AI62" i="24"/>
  <c r="AU62" i="24"/>
  <c r="CP62" i="24"/>
  <c r="L61" i="24"/>
  <c r="AG39" i="24"/>
  <c r="AS39" i="24"/>
  <c r="AH39" i="24"/>
  <c r="AT39" i="24"/>
  <c r="AI39" i="24"/>
  <c r="AU39" i="24"/>
  <c r="CP39" i="24"/>
  <c r="AK222" i="24"/>
  <c r="AU155" i="24"/>
  <c r="BA155" i="24"/>
  <c r="AX155" i="24"/>
  <c r="AV155" i="24"/>
  <c r="BB155" i="24"/>
  <c r="AY155" i="24"/>
  <c r="BF155" i="24"/>
  <c r="BG155" i="24"/>
  <c r="AX60" i="24"/>
  <c r="AM249" i="24"/>
  <c r="AT60" i="24"/>
  <c r="AU60" i="24"/>
  <c r="AJ60" i="24"/>
  <c r="AV60" i="24"/>
  <c r="AW60" i="24"/>
  <c r="AL249" i="24"/>
  <c r="BE155" i="24"/>
  <c r="AS60" i="24"/>
  <c r="CP60" i="24"/>
  <c r="AK249" i="24"/>
  <c r="AU154" i="24"/>
  <c r="BA154" i="24"/>
  <c r="AX154" i="24"/>
  <c r="AV154" i="24"/>
  <c r="BB154" i="24"/>
  <c r="AY154" i="24"/>
  <c r="BF154" i="24"/>
  <c r="M85" i="24"/>
  <c r="BG154" i="24"/>
  <c r="N85" i="24"/>
  <c r="AX63" i="24"/>
  <c r="M80" i="24"/>
  <c r="N80" i="24"/>
  <c r="AX58" i="24"/>
  <c r="AM221" i="24"/>
  <c r="AH63" i="24"/>
  <c r="AT63" i="24"/>
  <c r="AI63" i="24"/>
  <c r="AU63" i="24"/>
  <c r="AJ63" i="24"/>
  <c r="AV63" i="24"/>
  <c r="AW63" i="24"/>
  <c r="AH58" i="24"/>
  <c r="AT58" i="24"/>
  <c r="AI58" i="24"/>
  <c r="AU58" i="24"/>
  <c r="AJ58" i="24"/>
  <c r="AV58" i="24"/>
  <c r="AW58" i="24"/>
  <c r="AL221" i="24"/>
  <c r="BE154" i="24"/>
  <c r="L85" i="24"/>
  <c r="AG63" i="24"/>
  <c r="AS63" i="24"/>
  <c r="CP63" i="24"/>
  <c r="L80" i="24"/>
  <c r="AG58" i="24"/>
  <c r="AS58" i="24"/>
  <c r="CP58" i="24"/>
  <c r="AK221" i="24"/>
  <c r="AU153" i="24"/>
  <c r="BA153" i="24"/>
  <c r="AX153" i="24"/>
  <c r="AV153" i="24"/>
  <c r="BB153" i="24"/>
  <c r="AY153" i="24"/>
  <c r="BF153" i="24"/>
  <c r="BG153" i="24"/>
  <c r="M78" i="24"/>
  <c r="N78" i="24"/>
  <c r="AX56" i="24"/>
  <c r="AM248" i="24"/>
  <c r="AJ62" i="24"/>
  <c r="AV62" i="24"/>
  <c r="AW62" i="24"/>
  <c r="AH56" i="24"/>
  <c r="AT56" i="24"/>
  <c r="AI56" i="24"/>
  <c r="AU56" i="24"/>
  <c r="AJ56" i="24"/>
  <c r="AV56" i="24"/>
  <c r="AW56" i="24"/>
  <c r="AJ65" i="24"/>
  <c r="AV65" i="24"/>
  <c r="AW65" i="24"/>
  <c r="AL248" i="24"/>
  <c r="BE153" i="24"/>
  <c r="L78" i="24"/>
  <c r="AG56" i="24"/>
  <c r="AS56" i="24"/>
  <c r="CP56" i="24"/>
  <c r="AK248" i="24"/>
  <c r="AU152" i="24"/>
  <c r="BA152" i="24"/>
  <c r="AX152" i="24"/>
  <c r="AV152" i="24"/>
  <c r="BB152" i="24"/>
  <c r="AY152" i="24"/>
  <c r="BF152" i="24"/>
  <c r="BG152" i="24"/>
  <c r="M76" i="24"/>
  <c r="N76" i="24"/>
  <c r="AX54" i="24"/>
  <c r="AM220" i="24"/>
  <c r="AT61" i="24"/>
  <c r="AU61" i="24"/>
  <c r="AJ61" i="24"/>
  <c r="AV61" i="24"/>
  <c r="AW61" i="24"/>
  <c r="AH54" i="24"/>
  <c r="AT54" i="24"/>
  <c r="AI54" i="24"/>
  <c r="AU54" i="24"/>
  <c r="AJ54" i="24"/>
  <c r="AV54" i="24"/>
  <c r="AW54" i="24"/>
  <c r="AL220" i="24"/>
  <c r="BE152" i="24"/>
  <c r="CP61" i="24"/>
  <c r="L76" i="24"/>
  <c r="AG54" i="24"/>
  <c r="AS54" i="24"/>
  <c r="CP54" i="24"/>
  <c r="AK220" i="24"/>
  <c r="M74" i="24"/>
  <c r="N74" i="24"/>
  <c r="AX52" i="24"/>
  <c r="AM247" i="24"/>
  <c r="AH52" i="24"/>
  <c r="AT52" i="24"/>
  <c r="AI52" i="24"/>
  <c r="AU52" i="24"/>
  <c r="AJ52" i="24"/>
  <c r="AV52" i="24"/>
  <c r="AW52" i="24"/>
  <c r="AL247" i="24"/>
  <c r="L74" i="24"/>
  <c r="AG52" i="24"/>
  <c r="AS52" i="24"/>
  <c r="CP52" i="24"/>
  <c r="AK247" i="24"/>
  <c r="AU150" i="24"/>
  <c r="BA150" i="24"/>
  <c r="AX150" i="24"/>
  <c r="AV150" i="24"/>
  <c r="BB150" i="24"/>
  <c r="AY150" i="24"/>
  <c r="BF150" i="24"/>
  <c r="M81" i="24"/>
  <c r="BG150" i="24"/>
  <c r="N81" i="24"/>
  <c r="AX59" i="24"/>
  <c r="AX50" i="24"/>
  <c r="AM219" i="24"/>
  <c r="AH59" i="24"/>
  <c r="AT59" i="24"/>
  <c r="AI59" i="24"/>
  <c r="AU59" i="24"/>
  <c r="AJ59" i="24"/>
  <c r="AV59" i="24"/>
  <c r="AW59" i="24"/>
  <c r="AL219" i="24"/>
  <c r="BE150" i="24"/>
  <c r="L81" i="24"/>
  <c r="AG59" i="24"/>
  <c r="AS59" i="24"/>
  <c r="CP59" i="24"/>
  <c r="AK219" i="24"/>
  <c r="AU149" i="24"/>
  <c r="BA149" i="24"/>
  <c r="AX149" i="24"/>
  <c r="AV149" i="24"/>
  <c r="BB149" i="24"/>
  <c r="AY149" i="24"/>
  <c r="BF149" i="24"/>
  <c r="BG149" i="24"/>
  <c r="M70" i="24"/>
  <c r="N70" i="24"/>
  <c r="AX48" i="24"/>
  <c r="AM246" i="24"/>
  <c r="AH48" i="24"/>
  <c r="AT48" i="24"/>
  <c r="AI48" i="24"/>
  <c r="AU48" i="24"/>
  <c r="AJ48" i="24"/>
  <c r="AV48" i="24"/>
  <c r="AW48" i="24"/>
  <c r="AL246" i="24"/>
  <c r="BE149" i="24"/>
  <c r="L70" i="24"/>
  <c r="AG48" i="24"/>
  <c r="AS48" i="24"/>
  <c r="CP48" i="24"/>
  <c r="AK246" i="24"/>
  <c r="AU148" i="24"/>
  <c r="BA148" i="24"/>
  <c r="AX148" i="24"/>
  <c r="AV148" i="24"/>
  <c r="BB148" i="24"/>
  <c r="AY148" i="24"/>
  <c r="BF148" i="24"/>
  <c r="M79" i="24"/>
  <c r="BG148" i="24"/>
  <c r="N79" i="24"/>
  <c r="AX57" i="24"/>
  <c r="AX46" i="24"/>
  <c r="AM218" i="24"/>
  <c r="AH57" i="24"/>
  <c r="AT57" i="24"/>
  <c r="AI57" i="24"/>
  <c r="AU57" i="24"/>
  <c r="AJ57" i="24"/>
  <c r="AV57" i="24"/>
  <c r="AW57" i="24"/>
  <c r="AL218" i="24"/>
  <c r="BE148" i="24"/>
  <c r="L79" i="24"/>
  <c r="AG57" i="24"/>
  <c r="AS57" i="24"/>
  <c r="CP57" i="24"/>
  <c r="AK218" i="24"/>
  <c r="AU147" i="24"/>
  <c r="BA147" i="24"/>
  <c r="AX147" i="24"/>
  <c r="AV147" i="24"/>
  <c r="BB147" i="24"/>
  <c r="AY147" i="24"/>
  <c r="BF147" i="24"/>
  <c r="BG147" i="24"/>
  <c r="M66" i="24"/>
  <c r="N66" i="24"/>
  <c r="AX44" i="24"/>
  <c r="AM245" i="24"/>
  <c r="AH44" i="24"/>
  <c r="AT44" i="24"/>
  <c r="AI44" i="24"/>
  <c r="AU44" i="24"/>
  <c r="AJ44" i="24"/>
  <c r="AV44" i="24"/>
  <c r="AW44" i="24"/>
  <c r="AL245" i="24"/>
  <c r="BE147" i="24"/>
  <c r="L66" i="24"/>
  <c r="AG44" i="24"/>
  <c r="AS44" i="24"/>
  <c r="CP44" i="24"/>
  <c r="AK245" i="24"/>
  <c r="AU146" i="24"/>
  <c r="BA146" i="24"/>
  <c r="AX146" i="24"/>
  <c r="AV146" i="24"/>
  <c r="BB146" i="24"/>
  <c r="AY146" i="24"/>
  <c r="BF146" i="24"/>
  <c r="M77" i="24"/>
  <c r="BG146" i="24"/>
  <c r="N77" i="24"/>
  <c r="AX55" i="24"/>
  <c r="AX42" i="24"/>
  <c r="AM217" i="24"/>
  <c r="AH55" i="24"/>
  <c r="AT55" i="24"/>
  <c r="AI55" i="24"/>
  <c r="AU55" i="24"/>
  <c r="AJ55" i="24"/>
  <c r="AV55" i="24"/>
  <c r="AW55" i="24"/>
  <c r="AL217" i="24"/>
  <c r="BE146" i="24"/>
  <c r="L77" i="24"/>
  <c r="AG55" i="24"/>
  <c r="AS55" i="24"/>
  <c r="CP55" i="24"/>
  <c r="AK217" i="24"/>
  <c r="AU145" i="24"/>
  <c r="BA145" i="24"/>
  <c r="AX145" i="24"/>
  <c r="AV145" i="24"/>
  <c r="BB145" i="24"/>
  <c r="AY145" i="24"/>
  <c r="BF145" i="24"/>
  <c r="BG145" i="24"/>
  <c r="AM244" i="24"/>
  <c r="AL244" i="24"/>
  <c r="BE145" i="24"/>
  <c r="AK244" i="24"/>
  <c r="AU144" i="24"/>
  <c r="BA144" i="24"/>
  <c r="AX144" i="24"/>
  <c r="AV144" i="24"/>
  <c r="BB144" i="24"/>
  <c r="AY144" i="24"/>
  <c r="BF144" i="24"/>
  <c r="M75" i="24"/>
  <c r="BG144" i="24"/>
  <c r="N75" i="24"/>
  <c r="AX53" i="24"/>
  <c r="AX33" i="24"/>
  <c r="AM216" i="24"/>
  <c r="AH53" i="24"/>
  <c r="AT53" i="24"/>
  <c r="AI53" i="24"/>
  <c r="AU53" i="24"/>
  <c r="AJ53" i="24"/>
  <c r="AV53" i="24"/>
  <c r="AW53" i="24"/>
  <c r="AT33" i="24"/>
  <c r="AU33" i="24"/>
  <c r="AJ33" i="24"/>
  <c r="AV33" i="24"/>
  <c r="AW33" i="24"/>
  <c r="AL216" i="24"/>
  <c r="BE144" i="24"/>
  <c r="L75" i="24"/>
  <c r="AG53" i="24"/>
  <c r="AS53" i="24"/>
  <c r="CP53" i="24"/>
  <c r="AS33" i="24"/>
  <c r="CP33" i="24"/>
  <c r="AK216" i="24"/>
  <c r="AU143" i="24"/>
  <c r="BA143" i="24"/>
  <c r="AX143" i="24"/>
  <c r="AV143" i="24"/>
  <c r="BB143" i="24"/>
  <c r="AY143" i="24"/>
  <c r="BF143" i="24"/>
  <c r="BG143" i="24"/>
  <c r="AM243" i="24"/>
  <c r="AL243" i="24"/>
  <c r="BE143" i="24"/>
  <c r="AK243" i="24"/>
  <c r="AU142" i="24"/>
  <c r="BA142" i="24"/>
  <c r="AX142" i="24"/>
  <c r="AV142" i="24"/>
  <c r="BB142" i="24"/>
  <c r="AY142" i="24"/>
  <c r="BF142" i="24"/>
  <c r="M73" i="24"/>
  <c r="BG142" i="24"/>
  <c r="N73" i="24"/>
  <c r="AX51" i="24"/>
  <c r="M54" i="24"/>
  <c r="N54" i="24"/>
  <c r="AX32" i="24"/>
  <c r="AM215" i="24"/>
  <c r="AH51" i="24"/>
  <c r="AT51" i="24"/>
  <c r="AI51" i="24"/>
  <c r="AU51" i="24"/>
  <c r="AJ51" i="24"/>
  <c r="AV51" i="24"/>
  <c r="AW51" i="24"/>
  <c r="AH32" i="24"/>
  <c r="AT32" i="24"/>
  <c r="AI32" i="24"/>
  <c r="AU32" i="24"/>
  <c r="AJ32" i="24"/>
  <c r="AV32" i="24"/>
  <c r="AW32" i="24"/>
  <c r="AL215" i="24"/>
  <c r="BE142" i="24"/>
  <c r="L73" i="24"/>
  <c r="AG51" i="24"/>
  <c r="AS51" i="24"/>
  <c r="CP51" i="24"/>
  <c r="L54" i="24"/>
  <c r="AG32" i="24"/>
  <c r="AS32" i="24"/>
  <c r="CP32" i="24"/>
  <c r="AK215" i="24"/>
  <c r="AU141" i="24"/>
  <c r="BA141" i="24"/>
  <c r="AX141" i="24"/>
  <c r="AV141" i="24"/>
  <c r="BB141" i="24"/>
  <c r="AY141" i="24"/>
  <c r="BF141" i="24"/>
  <c r="BG141" i="24"/>
  <c r="AM242" i="24"/>
  <c r="AL242" i="24"/>
  <c r="BE141" i="24"/>
  <c r="AK242" i="24"/>
  <c r="AU140" i="24"/>
  <c r="BA140" i="24"/>
  <c r="AX140" i="24"/>
  <c r="AV140" i="24"/>
  <c r="BB140" i="24"/>
  <c r="AY140" i="24"/>
  <c r="BF140" i="24"/>
  <c r="M71" i="24"/>
  <c r="BG140" i="24"/>
  <c r="N71" i="24"/>
  <c r="AX49" i="24"/>
  <c r="M52" i="24"/>
  <c r="N52" i="24"/>
  <c r="AX30" i="24"/>
  <c r="M53" i="24"/>
  <c r="N53" i="24"/>
  <c r="AX31" i="24"/>
  <c r="AM214" i="24"/>
  <c r="AH49" i="24"/>
  <c r="AT49" i="24"/>
  <c r="AI49" i="24"/>
  <c r="AU49" i="24"/>
  <c r="AJ49" i="24"/>
  <c r="AV49" i="24"/>
  <c r="AW49" i="24"/>
  <c r="AH30" i="24"/>
  <c r="AT30" i="24"/>
  <c r="AI30" i="24"/>
  <c r="AU30" i="24"/>
  <c r="AJ30" i="24"/>
  <c r="AV30" i="24"/>
  <c r="AW30" i="24"/>
  <c r="AH31" i="24"/>
  <c r="AT31" i="24"/>
  <c r="AI31" i="24"/>
  <c r="AU31" i="24"/>
  <c r="AJ31" i="24"/>
  <c r="AV31" i="24"/>
  <c r="AW31" i="24"/>
  <c r="AL214" i="24"/>
  <c r="BE140" i="24"/>
  <c r="L71" i="24"/>
  <c r="AG49" i="24"/>
  <c r="AS49" i="24"/>
  <c r="CP49" i="24"/>
  <c r="L52" i="24"/>
  <c r="AG30" i="24"/>
  <c r="AS30" i="24"/>
  <c r="CP30" i="24"/>
  <c r="L53" i="24"/>
  <c r="AG31" i="24"/>
  <c r="AS31" i="24"/>
  <c r="CP31" i="24"/>
  <c r="AK214" i="24"/>
  <c r="AU139" i="24"/>
  <c r="BA139" i="24"/>
  <c r="AX139" i="24"/>
  <c r="AV139" i="24"/>
  <c r="BB139" i="24"/>
  <c r="AY139" i="24"/>
  <c r="BF139" i="24"/>
  <c r="BG139" i="24"/>
  <c r="M50" i="24"/>
  <c r="N50" i="24"/>
  <c r="AX28" i="24"/>
  <c r="AM241" i="24"/>
  <c r="AH28" i="24"/>
  <c r="AT28" i="24"/>
  <c r="AI28" i="24"/>
  <c r="AU28" i="24"/>
  <c r="AJ28" i="24"/>
  <c r="AV28" i="24"/>
  <c r="AW28" i="24"/>
  <c r="AL241" i="24"/>
  <c r="BE139" i="24"/>
  <c r="L50" i="24"/>
  <c r="AG28" i="24"/>
  <c r="AS28" i="24"/>
  <c r="CP28" i="24"/>
  <c r="AK241" i="24"/>
  <c r="AU138" i="24"/>
  <c r="BA138" i="24"/>
  <c r="AX138" i="24"/>
  <c r="AV138" i="24"/>
  <c r="BB138" i="24"/>
  <c r="AY138" i="24"/>
  <c r="BF138" i="24"/>
  <c r="M69" i="24"/>
  <c r="BG138" i="24"/>
  <c r="N69" i="24"/>
  <c r="AX47" i="24"/>
  <c r="M48" i="24"/>
  <c r="N48" i="24"/>
  <c r="AX26" i="24"/>
  <c r="AM213" i="24"/>
  <c r="AH47" i="24"/>
  <c r="AT47" i="24"/>
  <c r="AI47" i="24"/>
  <c r="AU47" i="24"/>
  <c r="AJ47" i="24"/>
  <c r="AV47" i="24"/>
  <c r="AW47" i="24"/>
  <c r="AH26" i="24"/>
  <c r="AT26" i="24"/>
  <c r="AI26" i="24"/>
  <c r="AU26" i="24"/>
  <c r="AJ26" i="24"/>
  <c r="AV26" i="24"/>
  <c r="AW26" i="24"/>
  <c r="AL213" i="24"/>
  <c r="BE138" i="24"/>
  <c r="L69" i="24"/>
  <c r="AG47" i="24"/>
  <c r="AS47" i="24"/>
  <c r="CP47" i="24"/>
  <c r="L48" i="24"/>
  <c r="AG26" i="24"/>
  <c r="AS26" i="24"/>
  <c r="CP26" i="24"/>
  <c r="AK213" i="24"/>
  <c r="AU137" i="24"/>
  <c r="BA137" i="24"/>
  <c r="AX137" i="24"/>
  <c r="AV137" i="24"/>
  <c r="BB137" i="24"/>
  <c r="AY137" i="24"/>
  <c r="BF137" i="24"/>
  <c r="BG137" i="24"/>
  <c r="M46" i="24"/>
  <c r="N46" i="24"/>
  <c r="AX24" i="24"/>
  <c r="AM240" i="24"/>
  <c r="AH24" i="24"/>
  <c r="AT24" i="24"/>
  <c r="AI24" i="24"/>
  <c r="AU24" i="24"/>
  <c r="AJ24" i="24"/>
  <c r="AV24" i="24"/>
  <c r="AW24" i="24"/>
  <c r="AL240" i="24"/>
  <c r="BE137" i="24"/>
  <c r="L46" i="24"/>
  <c r="AG24" i="24"/>
  <c r="AS24" i="24"/>
  <c r="CP24" i="24"/>
  <c r="AK240" i="24"/>
  <c r="AU136" i="24"/>
  <c r="BA136" i="24"/>
  <c r="AX136" i="24"/>
  <c r="AV136" i="24"/>
  <c r="BB136" i="24"/>
  <c r="AY136" i="24"/>
  <c r="BF136" i="24"/>
  <c r="M67" i="24"/>
  <c r="BG136" i="24"/>
  <c r="N67" i="24"/>
  <c r="AX45" i="24"/>
  <c r="M44" i="24"/>
  <c r="N44" i="24"/>
  <c r="AX22" i="24"/>
  <c r="M51" i="24"/>
  <c r="N51" i="24"/>
  <c r="AX29" i="24"/>
  <c r="AM212" i="24"/>
  <c r="AH45" i="24"/>
  <c r="AT45" i="24"/>
  <c r="AI45" i="24"/>
  <c r="AU45" i="24"/>
  <c r="AJ45" i="24"/>
  <c r="AV45" i="24"/>
  <c r="AW45" i="24"/>
  <c r="AH22" i="24"/>
  <c r="AT22" i="24"/>
  <c r="AI22" i="24"/>
  <c r="AU22" i="24"/>
  <c r="AJ22" i="24"/>
  <c r="AV22" i="24"/>
  <c r="AW22" i="24"/>
  <c r="AH29" i="24"/>
  <c r="AT29" i="24"/>
  <c r="AI29" i="24"/>
  <c r="AU29" i="24"/>
  <c r="AJ29" i="24"/>
  <c r="AV29" i="24"/>
  <c r="AW29" i="24"/>
  <c r="AL212" i="24"/>
  <c r="BE136" i="24"/>
  <c r="L67" i="24"/>
  <c r="AG45" i="24"/>
  <c r="AS45" i="24"/>
  <c r="CP45" i="24"/>
  <c r="L44" i="24"/>
  <c r="AG22" i="24"/>
  <c r="AS22" i="24"/>
  <c r="CP22" i="24"/>
  <c r="L51" i="24"/>
  <c r="AG29" i="24"/>
  <c r="AS29" i="24"/>
  <c r="CP29" i="24"/>
  <c r="AK212" i="24"/>
  <c r="AU135" i="24"/>
  <c r="BA135" i="24"/>
  <c r="AX135" i="24"/>
  <c r="AV135" i="24"/>
  <c r="BB135" i="24"/>
  <c r="AY135" i="24"/>
  <c r="BF135" i="24"/>
  <c r="BG135" i="24"/>
  <c r="M42" i="24"/>
  <c r="N42" i="24"/>
  <c r="AX20" i="24"/>
  <c r="AM239" i="24"/>
  <c r="AH20" i="24"/>
  <c r="AT20" i="24"/>
  <c r="AI20" i="24"/>
  <c r="AU20" i="24"/>
  <c r="AJ20" i="24"/>
  <c r="AV20" i="24"/>
  <c r="AW20" i="24"/>
  <c r="AL239" i="24"/>
  <c r="BE135" i="24"/>
  <c r="L42" i="24"/>
  <c r="AG20" i="24"/>
  <c r="AS20" i="24"/>
  <c r="CP20" i="24"/>
  <c r="AK239" i="24"/>
  <c r="AU134" i="24"/>
  <c r="BA134" i="24"/>
  <c r="AX134" i="24"/>
  <c r="AV134" i="24"/>
  <c r="BB134" i="24"/>
  <c r="AY134" i="24"/>
  <c r="BF134" i="24"/>
  <c r="M65" i="24"/>
  <c r="BG134" i="24"/>
  <c r="N65" i="24"/>
  <c r="AX43" i="24"/>
  <c r="M40" i="24"/>
  <c r="N40" i="24"/>
  <c r="AX18" i="24"/>
  <c r="AM211" i="24"/>
  <c r="AH43" i="24"/>
  <c r="AT43" i="24"/>
  <c r="AI43" i="24"/>
  <c r="AU43" i="24"/>
  <c r="AJ43" i="24"/>
  <c r="AV43" i="24"/>
  <c r="AW43" i="24"/>
  <c r="AH18" i="24"/>
  <c r="AT18" i="24"/>
  <c r="AI18" i="24"/>
  <c r="AU18" i="24"/>
  <c r="AJ18" i="24"/>
  <c r="AV18" i="24"/>
  <c r="AW18" i="24"/>
  <c r="AL211" i="24"/>
  <c r="BE134" i="24"/>
  <c r="L65" i="24"/>
  <c r="AG43" i="24"/>
  <c r="AS43" i="24"/>
  <c r="CP43" i="24"/>
  <c r="L40" i="24"/>
  <c r="AG18" i="24"/>
  <c r="AS18" i="24"/>
  <c r="CP18" i="24"/>
  <c r="AK211" i="24"/>
  <c r="AU133" i="24"/>
  <c r="BA133" i="24"/>
  <c r="AX133" i="24"/>
  <c r="AV133" i="24"/>
  <c r="BB133" i="24"/>
  <c r="AY133" i="24"/>
  <c r="BF133" i="24"/>
  <c r="BG133" i="24"/>
  <c r="M38" i="24"/>
  <c r="N38" i="24"/>
  <c r="AX16" i="24"/>
  <c r="AM238" i="24"/>
  <c r="AH16" i="24"/>
  <c r="AT16" i="24"/>
  <c r="AI16" i="24"/>
  <c r="AU16" i="24"/>
  <c r="AJ16" i="24"/>
  <c r="AV16" i="24"/>
  <c r="AW16" i="24"/>
  <c r="AL238" i="24"/>
  <c r="BE133" i="24"/>
  <c r="L38" i="24"/>
  <c r="AG16" i="24"/>
  <c r="AS16" i="24"/>
  <c r="CP16" i="24"/>
  <c r="AK238" i="24"/>
  <c r="AU132" i="24"/>
  <c r="BA132" i="24"/>
  <c r="AX132" i="24"/>
  <c r="AV132" i="24"/>
  <c r="BB132" i="24"/>
  <c r="AY132" i="24"/>
  <c r="BF132" i="24"/>
  <c r="BG132" i="24"/>
  <c r="M49" i="24"/>
  <c r="N49" i="24"/>
  <c r="AX27" i="24"/>
  <c r="AM210" i="24"/>
  <c r="AH41" i="24"/>
  <c r="AT41" i="24"/>
  <c r="AI41" i="24"/>
  <c r="AU41" i="24"/>
  <c r="AJ41" i="24"/>
  <c r="AV41" i="24"/>
  <c r="AW41" i="24"/>
  <c r="AT14" i="24"/>
  <c r="AU14" i="24"/>
  <c r="AJ14" i="24"/>
  <c r="AV14" i="24"/>
  <c r="AW14" i="24"/>
  <c r="AH27" i="24"/>
  <c r="AT27" i="24"/>
  <c r="AI27" i="24"/>
  <c r="AU27" i="24"/>
  <c r="AJ27" i="24"/>
  <c r="AV27" i="24"/>
  <c r="AW27" i="24"/>
  <c r="AL210" i="24"/>
  <c r="BE132" i="24"/>
  <c r="CP41" i="24"/>
  <c r="CP14" i="24"/>
  <c r="L49" i="24"/>
  <c r="AG27" i="24"/>
  <c r="AS27" i="24"/>
  <c r="CP27" i="24"/>
  <c r="AK210" i="24"/>
  <c r="AU131" i="24"/>
  <c r="BA131" i="24"/>
  <c r="AX131" i="24"/>
  <c r="AV131" i="24"/>
  <c r="BB131" i="24"/>
  <c r="AY131" i="24"/>
  <c r="BF131" i="24"/>
  <c r="BG131" i="24"/>
  <c r="AM237" i="24"/>
  <c r="AL237" i="24"/>
  <c r="BE131" i="24"/>
  <c r="AK237" i="24"/>
  <c r="AU130" i="24"/>
  <c r="BA130" i="24"/>
  <c r="AX130" i="24"/>
  <c r="AV130" i="24"/>
  <c r="BB130" i="24"/>
  <c r="AY130" i="24"/>
  <c r="BF130" i="24"/>
  <c r="BG130" i="24"/>
  <c r="AM209" i="24"/>
  <c r="AJ39" i="24"/>
  <c r="AV39" i="24"/>
  <c r="AW39" i="24"/>
  <c r="AL209" i="24"/>
  <c r="BE130" i="24"/>
  <c r="AK209" i="24"/>
  <c r="AU129" i="24"/>
  <c r="BA129" i="24"/>
  <c r="AX129" i="24"/>
  <c r="AV129" i="24"/>
  <c r="BB129" i="24"/>
  <c r="AY129" i="24"/>
  <c r="BF129" i="24"/>
  <c r="BG129" i="24"/>
  <c r="AM236" i="24"/>
  <c r="AL236" i="24"/>
  <c r="BE129" i="24"/>
  <c r="AK236" i="24"/>
  <c r="AU128" i="24"/>
  <c r="BA128" i="24"/>
  <c r="AX128" i="24"/>
  <c r="AV128" i="24"/>
  <c r="BB128" i="24"/>
  <c r="AY128" i="24"/>
  <c r="BF128" i="24"/>
  <c r="BG128" i="24"/>
  <c r="M47" i="24"/>
  <c r="N47" i="24"/>
  <c r="AX25" i="24"/>
  <c r="AM208" i="24"/>
  <c r="AH25" i="24"/>
  <c r="AT25" i="24"/>
  <c r="AI25" i="24"/>
  <c r="AU25" i="24"/>
  <c r="AJ25" i="24"/>
  <c r="AV25" i="24"/>
  <c r="AW25" i="24"/>
  <c r="AL208" i="24"/>
  <c r="BE128" i="24"/>
  <c r="L47" i="24"/>
  <c r="AG25" i="24"/>
  <c r="AS25" i="24"/>
  <c r="CP25" i="24"/>
  <c r="AK208" i="24"/>
  <c r="AU127" i="24"/>
  <c r="BA127" i="24"/>
  <c r="AX127" i="24"/>
  <c r="AV127" i="24"/>
  <c r="BB127" i="24"/>
  <c r="AY127" i="24"/>
  <c r="BF127" i="24"/>
  <c r="BG127" i="24"/>
  <c r="AM235" i="24"/>
  <c r="AL235" i="24"/>
  <c r="BE127" i="24"/>
  <c r="AK235" i="24"/>
  <c r="AU126" i="24"/>
  <c r="BA126" i="24"/>
  <c r="AX126" i="24"/>
  <c r="AV126" i="24"/>
  <c r="BB126" i="24"/>
  <c r="AY126" i="24"/>
  <c r="BF126" i="24"/>
  <c r="BG126" i="24"/>
  <c r="AM207" i="24"/>
  <c r="AL207" i="24"/>
  <c r="BE126" i="24"/>
  <c r="AK207" i="24"/>
  <c r="AU125" i="24"/>
  <c r="BA125" i="24"/>
  <c r="AX125" i="24"/>
  <c r="AV125" i="24"/>
  <c r="BB125" i="24"/>
  <c r="AY125" i="24"/>
  <c r="BF125" i="24"/>
  <c r="BG125" i="24"/>
  <c r="AM234" i="24"/>
  <c r="AL234" i="24"/>
  <c r="BE125" i="24"/>
  <c r="AK234" i="24"/>
  <c r="AU124" i="24"/>
  <c r="BA124" i="24"/>
  <c r="AX124" i="24"/>
  <c r="AV124" i="24"/>
  <c r="BB124" i="24"/>
  <c r="AY124" i="24"/>
  <c r="BF124" i="24"/>
  <c r="BG124" i="24"/>
  <c r="AX23" i="24"/>
  <c r="AM206" i="24"/>
  <c r="AL206" i="24"/>
  <c r="BE124" i="24"/>
  <c r="AK206" i="24"/>
  <c r="AU123" i="24"/>
  <c r="BA123" i="24"/>
  <c r="AX123" i="24"/>
  <c r="AV123" i="24"/>
  <c r="BB123" i="24"/>
  <c r="AY123" i="24"/>
  <c r="BF123" i="24"/>
  <c r="BG123" i="24"/>
  <c r="AM233" i="24"/>
  <c r="AL233" i="24"/>
  <c r="BE123" i="24"/>
  <c r="AK233" i="24"/>
  <c r="AU122" i="24"/>
  <c r="BA122" i="24"/>
  <c r="AX122" i="24"/>
  <c r="AV122" i="24"/>
  <c r="BB122" i="24"/>
  <c r="AY122" i="24"/>
  <c r="BF122" i="24"/>
  <c r="BG122" i="24"/>
  <c r="AM205" i="24"/>
  <c r="AL205" i="24"/>
  <c r="BE122" i="24"/>
  <c r="AK205" i="24"/>
  <c r="AU121" i="24"/>
  <c r="BA121" i="24"/>
  <c r="AX121" i="24"/>
  <c r="AV121" i="24"/>
  <c r="BB121" i="24"/>
  <c r="AY121" i="24"/>
  <c r="BF121" i="24"/>
  <c r="BG121" i="24"/>
  <c r="AM232" i="24"/>
  <c r="AL232" i="24"/>
  <c r="BE121" i="24"/>
  <c r="AK232" i="24"/>
  <c r="AU120" i="24"/>
  <c r="BA120" i="24"/>
  <c r="AX120" i="24"/>
  <c r="AV120" i="24"/>
  <c r="BB120" i="24"/>
  <c r="AY120" i="24"/>
  <c r="BF120" i="24"/>
  <c r="BG120" i="24"/>
  <c r="M43" i="24"/>
  <c r="N43" i="24"/>
  <c r="AX21" i="24"/>
  <c r="AM204" i="24"/>
  <c r="AH21" i="24"/>
  <c r="AT21" i="24"/>
  <c r="AI21" i="24"/>
  <c r="AU21" i="24"/>
  <c r="AJ21" i="24"/>
  <c r="AV21" i="24"/>
  <c r="AW21" i="24"/>
  <c r="AL204" i="24"/>
  <c r="BE120" i="24"/>
  <c r="L43" i="24"/>
  <c r="AG21" i="24"/>
  <c r="AS21" i="24"/>
  <c r="CP21" i="24"/>
  <c r="AK204" i="24"/>
  <c r="AU119" i="24"/>
  <c r="BA119" i="24"/>
  <c r="AX119" i="24"/>
  <c r="AV119" i="24"/>
  <c r="BB119" i="24"/>
  <c r="AY119" i="24"/>
  <c r="BF119" i="24"/>
  <c r="BG119" i="24"/>
  <c r="AM231" i="24"/>
  <c r="AL231" i="24"/>
  <c r="BE119" i="24"/>
  <c r="AK231" i="24"/>
  <c r="AU118" i="24"/>
  <c r="BA118" i="24"/>
  <c r="AX118" i="24"/>
  <c r="AV118" i="24"/>
  <c r="BB118" i="24"/>
  <c r="AY118" i="24"/>
  <c r="BF118" i="24"/>
  <c r="BG118" i="24"/>
  <c r="AM203" i="24"/>
  <c r="AL203" i="24"/>
  <c r="BE118" i="24"/>
  <c r="AK203" i="24"/>
  <c r="AU117" i="24"/>
  <c r="BA117" i="24"/>
  <c r="AX117" i="24"/>
  <c r="AV117" i="24"/>
  <c r="BB117" i="24"/>
  <c r="AY117" i="24"/>
  <c r="BF117" i="24"/>
  <c r="BG117" i="24"/>
  <c r="AM230" i="24"/>
  <c r="AL230" i="24"/>
  <c r="BE117" i="24"/>
  <c r="AK230" i="24"/>
  <c r="AU116" i="24"/>
  <c r="BA116" i="24"/>
  <c r="AX116" i="24"/>
  <c r="AV116" i="24"/>
  <c r="BB116" i="24"/>
  <c r="AY116" i="24"/>
  <c r="BF116" i="24"/>
  <c r="BG116" i="24"/>
  <c r="AX19" i="24"/>
  <c r="AM202" i="24"/>
  <c r="AL202" i="24"/>
  <c r="BE116" i="24"/>
  <c r="AK202" i="24"/>
  <c r="AU115" i="24"/>
  <c r="BA115" i="24"/>
  <c r="AX115" i="24"/>
  <c r="AV115" i="24"/>
  <c r="BB115" i="24"/>
  <c r="AY115" i="24"/>
  <c r="BF115" i="24"/>
  <c r="BG115" i="24"/>
  <c r="AM229" i="24"/>
  <c r="AL229" i="24"/>
  <c r="BE115" i="24"/>
  <c r="AK229" i="24"/>
  <c r="AU114" i="24"/>
  <c r="BA114" i="24"/>
  <c r="AX114" i="24"/>
  <c r="AV114" i="24"/>
  <c r="BB114" i="24"/>
  <c r="AY114" i="24"/>
  <c r="BF114" i="24"/>
  <c r="BG114" i="24"/>
  <c r="AM201" i="24"/>
  <c r="AL201" i="24"/>
  <c r="BE114" i="24"/>
  <c r="AK201" i="24"/>
  <c r="AU113" i="24"/>
  <c r="BA113" i="24"/>
  <c r="AX113" i="24"/>
  <c r="AV113" i="24"/>
  <c r="BB113" i="24"/>
  <c r="AY113" i="24"/>
  <c r="BF113" i="24"/>
  <c r="BG113" i="24"/>
  <c r="AM228" i="24"/>
  <c r="AL228" i="24"/>
  <c r="BE113" i="24"/>
  <c r="AK228" i="24"/>
  <c r="AU112" i="24"/>
  <c r="BA112" i="24"/>
  <c r="AX112" i="24"/>
  <c r="AV112" i="24"/>
  <c r="BB112" i="24"/>
  <c r="AY112" i="24"/>
  <c r="BF112" i="24"/>
  <c r="BG112" i="24"/>
  <c r="M39" i="24"/>
  <c r="N39" i="24"/>
  <c r="AX17" i="24"/>
  <c r="AM200" i="24"/>
  <c r="AH17" i="24"/>
  <c r="AT17" i="24"/>
  <c r="AI17" i="24"/>
  <c r="AU17" i="24"/>
  <c r="AJ17" i="24"/>
  <c r="AV17" i="24"/>
  <c r="AW17" i="24"/>
  <c r="AL200" i="24"/>
  <c r="BE112" i="24"/>
  <c r="L39" i="24"/>
  <c r="AG17" i="24"/>
  <c r="AS17" i="24"/>
  <c r="CP17" i="24"/>
  <c r="AK200" i="24"/>
  <c r="AU111" i="24"/>
  <c r="BA111" i="24"/>
  <c r="AX111" i="24"/>
  <c r="AV111" i="24"/>
  <c r="BB111" i="24"/>
  <c r="AY111" i="24"/>
  <c r="BF111" i="24"/>
  <c r="BG111" i="24"/>
  <c r="AM227" i="24"/>
  <c r="AL227" i="24"/>
  <c r="BE111" i="24"/>
  <c r="AK227" i="24"/>
  <c r="AU110" i="24"/>
  <c r="BA110" i="24"/>
  <c r="AX110" i="24"/>
  <c r="AV110" i="24"/>
  <c r="BB110" i="24"/>
  <c r="AY110" i="24"/>
  <c r="BF110" i="24"/>
  <c r="BG110" i="24"/>
  <c r="AM199" i="24"/>
  <c r="AL199" i="24"/>
  <c r="BE110" i="24"/>
  <c r="AK199" i="24"/>
  <c r="AU109" i="24"/>
  <c r="BA109" i="24"/>
  <c r="AX109" i="24"/>
  <c r="AV109" i="24"/>
  <c r="BB109" i="24"/>
  <c r="AY109" i="24"/>
  <c r="BF109" i="24"/>
  <c r="BG109" i="24"/>
  <c r="AM226" i="24"/>
  <c r="AL226" i="24"/>
  <c r="BE109" i="24"/>
  <c r="AK226" i="24"/>
  <c r="AU108" i="24"/>
  <c r="BA108" i="24"/>
  <c r="AX108" i="24"/>
  <c r="AV108" i="24"/>
  <c r="BB108" i="24"/>
  <c r="AY108" i="24"/>
  <c r="BF108" i="24"/>
  <c r="BG108" i="24"/>
  <c r="AM198" i="24"/>
  <c r="AL198" i="24"/>
  <c r="BE108" i="24"/>
  <c r="AK198" i="24"/>
  <c r="AU107" i="24"/>
  <c r="BA107" i="24"/>
  <c r="AX107" i="24"/>
  <c r="AV107" i="24"/>
  <c r="BB107" i="24"/>
  <c r="AY107" i="24"/>
  <c r="BF107" i="24"/>
  <c r="BG107" i="24"/>
  <c r="AM225" i="24"/>
  <c r="AL225" i="24"/>
  <c r="BE107" i="24"/>
  <c r="AK225" i="24"/>
  <c r="AU106" i="24"/>
  <c r="BA106" i="24"/>
  <c r="AX106" i="24"/>
  <c r="AV106" i="24"/>
  <c r="BB106" i="24"/>
  <c r="AY106" i="24"/>
  <c r="BF106" i="24"/>
  <c r="BG106" i="24"/>
  <c r="AM197" i="24"/>
  <c r="AL197" i="24"/>
  <c r="BE106" i="24"/>
  <c r="AK197" i="24"/>
  <c r="AN228" i="24"/>
  <c r="AN201" i="24"/>
  <c r="AN229" i="24"/>
  <c r="AN202" i="24"/>
  <c r="AN230" i="24"/>
  <c r="AN203" i="24"/>
  <c r="AN231" i="24"/>
  <c r="AN204" i="24"/>
  <c r="AN232" i="24"/>
  <c r="AN205" i="24"/>
  <c r="AN233" i="24"/>
  <c r="AN206" i="24"/>
  <c r="AN234" i="24"/>
  <c r="AN207" i="24"/>
  <c r="AN235" i="24"/>
  <c r="AN208" i="24"/>
  <c r="AN236" i="24"/>
  <c r="AN209" i="24"/>
  <c r="AN237" i="24"/>
  <c r="AN210" i="24"/>
  <c r="AN238" i="24"/>
  <c r="AN211" i="24"/>
  <c r="AN239" i="24"/>
  <c r="AN212" i="24"/>
  <c r="AN240" i="24"/>
  <c r="AN213" i="24"/>
  <c r="AN241" i="24"/>
  <c r="AN214" i="24"/>
  <c r="AN242" i="24"/>
  <c r="AN215" i="24"/>
  <c r="AN243" i="24"/>
  <c r="AN216" i="24"/>
  <c r="AN244" i="24"/>
  <c r="AN217" i="24"/>
  <c r="AN245" i="24"/>
  <c r="AN218" i="24"/>
  <c r="AN246" i="24"/>
  <c r="AN219" i="24"/>
  <c r="AN247" i="24"/>
  <c r="AN220" i="24"/>
  <c r="AN248" i="24"/>
  <c r="AN221" i="24"/>
  <c r="AN249" i="24"/>
  <c r="AN222" i="24"/>
  <c r="AN250" i="24"/>
  <c r="AN223" i="24"/>
  <c r="AN200" i="24"/>
  <c r="AN227" i="24"/>
  <c r="AN199" i="24"/>
  <c r="AN226" i="24"/>
  <c r="AN198" i="24"/>
  <c r="AN225" i="24"/>
  <c r="AN197" i="24"/>
  <c r="AL222" i="24"/>
  <c r="AK15" i="24"/>
  <c r="AK16" i="24"/>
  <c r="AK17" i="24"/>
  <c r="AK18" i="24"/>
  <c r="AK19" i="24"/>
  <c r="AK20" i="24"/>
  <c r="AK21" i="24"/>
  <c r="AK22" i="24"/>
  <c r="AK23" i="24"/>
  <c r="AK24" i="24"/>
  <c r="AK25" i="24"/>
  <c r="AK26" i="24"/>
  <c r="AK27" i="24"/>
  <c r="AK28" i="24"/>
  <c r="AK29" i="24"/>
  <c r="AK30" i="24"/>
  <c r="AK31" i="24"/>
  <c r="AK32" i="24"/>
  <c r="AK33" i="24"/>
  <c r="AK34" i="24"/>
  <c r="AK35" i="24"/>
  <c r="AK36" i="24"/>
  <c r="AK37" i="24"/>
  <c r="AK38" i="24"/>
  <c r="AK39" i="24"/>
  <c r="AK40" i="24"/>
  <c r="AK41" i="24"/>
  <c r="AK42" i="24"/>
  <c r="AK43" i="24"/>
  <c r="AK44" i="24"/>
  <c r="AK45" i="24"/>
  <c r="AK46" i="24"/>
  <c r="AK47" i="24"/>
  <c r="AK48" i="24"/>
  <c r="AK49" i="24"/>
  <c r="AK50" i="24"/>
  <c r="AK51" i="24"/>
  <c r="AK52" i="24"/>
  <c r="AK53" i="24"/>
  <c r="AK54" i="24"/>
  <c r="AK55" i="24"/>
  <c r="AK56" i="24"/>
  <c r="AK57" i="24"/>
  <c r="AK58" i="24"/>
  <c r="AK59" i="24"/>
  <c r="AK60" i="24"/>
  <c r="AK61" i="24"/>
  <c r="AK62" i="24"/>
  <c r="AK63" i="24"/>
  <c r="AK64" i="24"/>
  <c r="AK65" i="24"/>
  <c r="AK66" i="24"/>
  <c r="AK67" i="24"/>
  <c r="F13" i="24"/>
  <c r="H13" i="24"/>
  <c r="AV171" i="24"/>
  <c r="BB171" i="24"/>
  <c r="AY171" i="24"/>
  <c r="BE171" i="24"/>
  <c r="L102" i="24"/>
  <c r="AG80" i="24"/>
  <c r="AS80" i="24"/>
  <c r="AU171" i="24"/>
  <c r="BA171" i="24"/>
  <c r="AX171" i="24"/>
  <c r="BF171" i="24"/>
  <c r="M102" i="24"/>
  <c r="AH80" i="24"/>
  <c r="AT80" i="24"/>
  <c r="BG171" i="24"/>
  <c r="N102" i="24"/>
  <c r="AI80" i="24"/>
  <c r="AU80" i="24"/>
  <c r="CP80" i="24"/>
  <c r="L13" i="24"/>
  <c r="I13" i="24"/>
  <c r="J13" i="24"/>
  <c r="K13" i="24"/>
  <c r="BE160" i="24"/>
  <c r="L91" i="24"/>
  <c r="AG69" i="24"/>
  <c r="AS69" i="24"/>
  <c r="AT69" i="24"/>
  <c r="AU69" i="24"/>
  <c r="CP69" i="24"/>
  <c r="M13" i="24"/>
  <c r="AT72" i="24"/>
  <c r="AU72" i="24"/>
  <c r="CP72" i="24"/>
  <c r="N13" i="24"/>
  <c r="AT75" i="24"/>
  <c r="AU75" i="24"/>
  <c r="CP75" i="24"/>
  <c r="O13" i="24"/>
  <c r="CL14" i="24"/>
  <c r="D14" i="24"/>
  <c r="CL29" i="24"/>
  <c r="F14" i="24"/>
  <c r="CL44" i="24"/>
  <c r="H14" i="24"/>
  <c r="CL18" i="24"/>
  <c r="I14" i="24"/>
  <c r="CL48" i="24"/>
  <c r="J14" i="24"/>
  <c r="CL33" i="24"/>
  <c r="K14" i="24"/>
  <c r="AU161" i="24"/>
  <c r="BA161" i="24"/>
  <c r="AX161" i="24"/>
  <c r="AV161" i="24"/>
  <c r="BB161" i="24"/>
  <c r="AY161" i="24"/>
  <c r="BF161" i="24"/>
  <c r="M92" i="24"/>
  <c r="BG161" i="24"/>
  <c r="N92" i="24"/>
  <c r="AX70" i="24"/>
  <c r="AU164" i="24"/>
  <c r="BA164" i="24"/>
  <c r="AX164" i="24"/>
  <c r="AV164" i="24"/>
  <c r="BB164" i="24"/>
  <c r="AY164" i="24"/>
  <c r="BF164" i="24"/>
  <c r="M95" i="24"/>
  <c r="BG164" i="24"/>
  <c r="N95" i="24"/>
  <c r="AX73" i="24"/>
  <c r="AU167" i="24"/>
  <c r="BA167" i="24"/>
  <c r="AX167" i="24"/>
  <c r="AV167" i="24"/>
  <c r="BB167" i="24"/>
  <c r="AY167" i="24"/>
  <c r="BF167" i="24"/>
  <c r="M98" i="24"/>
  <c r="BG167" i="24"/>
  <c r="N98" i="24"/>
  <c r="AX76" i="24"/>
  <c r="AU170" i="24"/>
  <c r="BA170" i="24"/>
  <c r="AX170" i="24"/>
  <c r="AV170" i="24"/>
  <c r="BB170" i="24"/>
  <c r="AY170" i="24"/>
  <c r="BF170" i="24"/>
  <c r="M101" i="24"/>
  <c r="BG170" i="24"/>
  <c r="N101" i="24"/>
  <c r="AX79" i="24"/>
  <c r="DA63" i="24"/>
  <c r="DA66" i="24"/>
  <c r="DA69" i="24"/>
  <c r="DA72" i="24"/>
  <c r="DA75" i="24"/>
  <c r="AU169" i="24"/>
  <c r="BA169" i="24"/>
  <c r="AX169" i="24"/>
  <c r="AV169" i="24"/>
  <c r="BB169" i="24"/>
  <c r="AY169" i="24"/>
  <c r="BF169" i="24"/>
  <c r="M100" i="24"/>
  <c r="AH78" i="24"/>
  <c r="BG169" i="24"/>
  <c r="N100" i="24"/>
  <c r="AI78" i="24"/>
  <c r="DA78" i="24"/>
  <c r="CJ62" i="24"/>
  <c r="DC62" i="24"/>
  <c r="DD62" i="24"/>
  <c r="DE62" i="24"/>
  <c r="DF62" i="24"/>
  <c r="CY63" i="24"/>
  <c r="CL63" i="24"/>
  <c r="CZ63" i="24"/>
  <c r="CJ63" i="24"/>
  <c r="DC63" i="24"/>
  <c r="DD63" i="24"/>
  <c r="DE63" i="24"/>
  <c r="DF63" i="24"/>
  <c r="CJ65" i="24"/>
  <c r="DC65" i="24"/>
  <c r="DD65" i="24"/>
  <c r="DE65" i="24"/>
  <c r="DF65" i="24"/>
  <c r="CY66" i="24"/>
  <c r="CL66" i="24"/>
  <c r="CZ66" i="24"/>
  <c r="CJ66" i="24"/>
  <c r="DC66" i="24"/>
  <c r="DD66" i="24"/>
  <c r="DE66" i="24"/>
  <c r="DF66" i="24"/>
  <c r="AV159" i="24"/>
  <c r="BB159" i="24"/>
  <c r="AY159" i="24"/>
  <c r="BE159" i="24"/>
  <c r="L90" i="24"/>
  <c r="AG68" i="24"/>
  <c r="AS68" i="24"/>
  <c r="CJ68" i="24"/>
  <c r="DC68" i="24"/>
  <c r="AU159" i="24"/>
  <c r="BA159" i="24"/>
  <c r="AX159" i="24"/>
  <c r="BF159" i="24"/>
  <c r="M90" i="24"/>
  <c r="BG159" i="24"/>
  <c r="N90" i="24"/>
  <c r="AX68" i="24"/>
  <c r="DD68" i="24"/>
  <c r="DE68" i="24"/>
  <c r="AH68" i="24"/>
  <c r="AI68" i="24"/>
  <c r="DF68" i="24"/>
  <c r="CY69" i="24"/>
  <c r="AJ69" i="24"/>
  <c r="AV69" i="24"/>
  <c r="AW69" i="24"/>
  <c r="CL69" i="24"/>
  <c r="CZ69" i="24"/>
  <c r="CJ69" i="24"/>
  <c r="DC69" i="24"/>
  <c r="AX69" i="24"/>
  <c r="DD69" i="24"/>
  <c r="DE69" i="24"/>
  <c r="AV162" i="24"/>
  <c r="BB162" i="24"/>
  <c r="AY162" i="24"/>
  <c r="BE162" i="24"/>
  <c r="L93" i="24"/>
  <c r="AG71" i="24"/>
  <c r="AS71" i="24"/>
  <c r="CJ71" i="24"/>
  <c r="DC71" i="24"/>
  <c r="AU162" i="24"/>
  <c r="BA162" i="24"/>
  <c r="AX162" i="24"/>
  <c r="BF162" i="24"/>
  <c r="M93" i="24"/>
  <c r="BG162" i="24"/>
  <c r="N93" i="24"/>
  <c r="AX71" i="24"/>
  <c r="DD71" i="24"/>
  <c r="DE71" i="24"/>
  <c r="AH71" i="24"/>
  <c r="AI71" i="24"/>
  <c r="DF71" i="24"/>
  <c r="CY72" i="24"/>
  <c r="AJ72" i="24"/>
  <c r="AV72" i="24"/>
  <c r="AW72" i="24"/>
  <c r="CL72" i="24"/>
  <c r="CZ72" i="24"/>
  <c r="AX72" i="24"/>
  <c r="DD72" i="24"/>
  <c r="AV165" i="24"/>
  <c r="BB165" i="24"/>
  <c r="AY165" i="24"/>
  <c r="BE165" i="24"/>
  <c r="L96" i="24"/>
  <c r="AG74" i="24"/>
  <c r="AS74" i="24"/>
  <c r="CJ74" i="24"/>
  <c r="DC74" i="24"/>
  <c r="AU165" i="24"/>
  <c r="BA165" i="24"/>
  <c r="AX165" i="24"/>
  <c r="BF165" i="24"/>
  <c r="M96" i="24"/>
  <c r="BG165" i="24"/>
  <c r="N96" i="24"/>
  <c r="AX74" i="24"/>
  <c r="DD74" i="24"/>
  <c r="DE74" i="24"/>
  <c r="AH74" i="24"/>
  <c r="AI74" i="24"/>
  <c r="DF74" i="24"/>
  <c r="CY75" i="24"/>
  <c r="AJ75" i="24"/>
  <c r="AV75" i="24"/>
  <c r="AW75" i="24"/>
  <c r="CL75" i="24"/>
  <c r="CZ75" i="24"/>
  <c r="AX75" i="24"/>
  <c r="DD75" i="24"/>
  <c r="AV168" i="24"/>
  <c r="BB168" i="24"/>
  <c r="AY168" i="24"/>
  <c r="BE168" i="24"/>
  <c r="L99" i="24"/>
  <c r="AG77" i="24"/>
  <c r="AS77" i="24"/>
  <c r="CJ77" i="24"/>
  <c r="DC77" i="24"/>
  <c r="AU168" i="24"/>
  <c r="BA168" i="24"/>
  <c r="AX168" i="24"/>
  <c r="BF168" i="24"/>
  <c r="M99" i="24"/>
  <c r="BG168" i="24"/>
  <c r="N99" i="24"/>
  <c r="AX77" i="24"/>
  <c r="DD77" i="24"/>
  <c r="DE77" i="24"/>
  <c r="AH77" i="24"/>
  <c r="AI77" i="24"/>
  <c r="DF77" i="24"/>
  <c r="CY78" i="24"/>
  <c r="AT78" i="24"/>
  <c r="AU78" i="24"/>
  <c r="AJ78" i="24"/>
  <c r="AV78" i="24"/>
  <c r="AW78" i="24"/>
  <c r="CL78" i="24"/>
  <c r="CZ78" i="24"/>
  <c r="BE169" i="24"/>
  <c r="L100" i="24"/>
  <c r="AG78" i="24"/>
  <c r="AS78" i="24"/>
  <c r="CJ78" i="24"/>
  <c r="DC78" i="24"/>
  <c r="AX78" i="24"/>
  <c r="DD78" i="24"/>
  <c r="DE78" i="24"/>
  <c r="DF78" i="24"/>
  <c r="O21" i="24"/>
  <c r="O22" i="24"/>
  <c r="O23" i="24"/>
  <c r="O24" i="24"/>
  <c r="P37" i="24"/>
  <c r="CF15" i="24"/>
  <c r="CG15" i="24"/>
  <c r="CO15" i="24"/>
  <c r="R37" i="24"/>
  <c r="BS15" i="24"/>
  <c r="BD15" i="24"/>
  <c r="BV15" i="24"/>
  <c r="BF15" i="24"/>
  <c r="BG15" i="24"/>
  <c r="BH15" i="24"/>
  <c r="BJ15" i="24"/>
  <c r="BL15" i="24"/>
  <c r="BI15" i="24"/>
  <c r="BK15" i="24"/>
  <c r="BT15" i="24"/>
  <c r="BM15" i="24"/>
  <c r="BW15" i="24"/>
  <c r="BO15" i="24"/>
  <c r="BN15" i="24"/>
  <c r="BR15" i="24"/>
  <c r="BU15" i="24"/>
  <c r="BP15" i="24"/>
  <c r="BQ15" i="24"/>
  <c r="BX15" i="24"/>
  <c r="BY15" i="24"/>
  <c r="BZ15" i="24"/>
  <c r="CA15" i="24"/>
  <c r="CN15" i="24"/>
  <c r="U37" i="24"/>
  <c r="CM15" i="24"/>
  <c r="X37" i="24"/>
  <c r="P38" i="24"/>
  <c r="CF16" i="24"/>
  <c r="CG16" i="24"/>
  <c r="CO16" i="24"/>
  <c r="R38" i="24"/>
  <c r="BS16" i="24"/>
  <c r="BD16" i="24"/>
  <c r="BV16" i="24"/>
  <c r="BF16" i="24"/>
  <c r="BG16" i="24"/>
  <c r="BH16" i="24"/>
  <c r="BJ16" i="24"/>
  <c r="BL16" i="24"/>
  <c r="BI16" i="24"/>
  <c r="BK16" i="24"/>
  <c r="BT16" i="24"/>
  <c r="BM16" i="24"/>
  <c r="BW16" i="24"/>
  <c r="BO16" i="24"/>
  <c r="BN16" i="24"/>
  <c r="BR16" i="24"/>
  <c r="BU16" i="24"/>
  <c r="BP16" i="24"/>
  <c r="BQ16" i="24"/>
  <c r="BX16" i="24"/>
  <c r="BY16" i="24"/>
  <c r="BZ16" i="24"/>
  <c r="CA16" i="24"/>
  <c r="CN16" i="24"/>
  <c r="U38" i="24"/>
  <c r="CM16" i="24"/>
  <c r="X38" i="24"/>
  <c r="P39" i="24"/>
  <c r="CF17" i="24"/>
  <c r="CG17" i="24"/>
  <c r="CO17" i="24"/>
  <c r="R39" i="24"/>
  <c r="BS17" i="24"/>
  <c r="BD17" i="24"/>
  <c r="BV17" i="24"/>
  <c r="BF17" i="24"/>
  <c r="BG17" i="24"/>
  <c r="BH17" i="24"/>
  <c r="BJ17" i="24"/>
  <c r="BL17" i="24"/>
  <c r="BI17" i="24"/>
  <c r="BK17" i="24"/>
  <c r="BT17" i="24"/>
  <c r="BM17" i="24"/>
  <c r="BW17" i="24"/>
  <c r="BO17" i="24"/>
  <c r="BN17" i="24"/>
  <c r="BR17" i="24"/>
  <c r="BU17" i="24"/>
  <c r="BP17" i="24"/>
  <c r="BQ17" i="24"/>
  <c r="BX17" i="24"/>
  <c r="BY17" i="24"/>
  <c r="BZ17" i="24"/>
  <c r="CA17" i="24"/>
  <c r="CN17" i="24"/>
  <c r="U39" i="24"/>
  <c r="CM17" i="24"/>
  <c r="X39" i="24"/>
  <c r="P40" i="24"/>
  <c r="CF18" i="24"/>
  <c r="CG18" i="24"/>
  <c r="CO18" i="24"/>
  <c r="R40" i="24"/>
  <c r="BS18" i="24"/>
  <c r="BD18" i="24"/>
  <c r="BV18" i="24"/>
  <c r="BF18" i="24"/>
  <c r="BG18" i="24"/>
  <c r="BH18" i="24"/>
  <c r="BJ18" i="24"/>
  <c r="BL18" i="24"/>
  <c r="BI18" i="24"/>
  <c r="BK18" i="24"/>
  <c r="BT18" i="24"/>
  <c r="BM18" i="24"/>
  <c r="BW18" i="24"/>
  <c r="BO18" i="24"/>
  <c r="BN18" i="24"/>
  <c r="BR18" i="24"/>
  <c r="BU18" i="24"/>
  <c r="BP18" i="24"/>
  <c r="BQ18" i="24"/>
  <c r="BX18" i="24"/>
  <c r="BY18" i="24"/>
  <c r="BZ18" i="24"/>
  <c r="CA18" i="24"/>
  <c r="CN18" i="24"/>
  <c r="U40" i="24"/>
  <c r="CM18" i="24"/>
  <c r="X40" i="24"/>
  <c r="P41" i="24"/>
  <c r="CF19" i="24"/>
  <c r="CG19" i="24"/>
  <c r="CO19" i="24"/>
  <c r="R41" i="24"/>
  <c r="BS19" i="24"/>
  <c r="BD19" i="24"/>
  <c r="BV19" i="24"/>
  <c r="BF19" i="24"/>
  <c r="BG19" i="24"/>
  <c r="BH19" i="24"/>
  <c r="BJ19" i="24"/>
  <c r="BL19" i="24"/>
  <c r="BI19" i="24"/>
  <c r="BK19" i="24"/>
  <c r="BT19" i="24"/>
  <c r="BM19" i="24"/>
  <c r="BW19" i="24"/>
  <c r="BO19" i="24"/>
  <c r="BN19" i="24"/>
  <c r="BR19" i="24"/>
  <c r="BU19" i="24"/>
  <c r="BP19" i="24"/>
  <c r="BQ19" i="24"/>
  <c r="BX19" i="24"/>
  <c r="BY19" i="24"/>
  <c r="BZ19" i="24"/>
  <c r="CA19" i="24"/>
  <c r="CN19" i="24"/>
  <c r="U41" i="24"/>
  <c r="CM19" i="24"/>
  <c r="X41" i="24"/>
  <c r="P42" i="24"/>
  <c r="CF20" i="24"/>
  <c r="CG20" i="24"/>
  <c r="CO20" i="24"/>
  <c r="R42" i="24"/>
  <c r="BS20" i="24"/>
  <c r="BD20" i="24"/>
  <c r="BV20" i="24"/>
  <c r="BF20" i="24"/>
  <c r="BG20" i="24"/>
  <c r="BH20" i="24"/>
  <c r="BJ20" i="24"/>
  <c r="BL20" i="24"/>
  <c r="BI20" i="24"/>
  <c r="BK20" i="24"/>
  <c r="BT20" i="24"/>
  <c r="BM20" i="24"/>
  <c r="BW20" i="24"/>
  <c r="BO20" i="24"/>
  <c r="BN20" i="24"/>
  <c r="BR20" i="24"/>
  <c r="BU20" i="24"/>
  <c r="BP20" i="24"/>
  <c r="BQ20" i="24"/>
  <c r="BX20" i="24"/>
  <c r="BY20" i="24"/>
  <c r="BZ20" i="24"/>
  <c r="CA20" i="24"/>
  <c r="CN20" i="24"/>
  <c r="U42" i="24"/>
  <c r="CM20" i="24"/>
  <c r="X42" i="24"/>
  <c r="P43" i="24"/>
  <c r="CF21" i="24"/>
  <c r="CG21" i="24"/>
  <c r="CO21" i="24"/>
  <c r="R43" i="24"/>
  <c r="BS21" i="24"/>
  <c r="BD21" i="24"/>
  <c r="BV21" i="24"/>
  <c r="BF21" i="24"/>
  <c r="BG21" i="24"/>
  <c r="BH21" i="24"/>
  <c r="BJ21" i="24"/>
  <c r="BL21" i="24"/>
  <c r="BI21" i="24"/>
  <c r="BK21" i="24"/>
  <c r="BT21" i="24"/>
  <c r="BM21" i="24"/>
  <c r="BW21" i="24"/>
  <c r="BO21" i="24"/>
  <c r="BN21" i="24"/>
  <c r="BR21" i="24"/>
  <c r="BU21" i="24"/>
  <c r="BP21" i="24"/>
  <c r="BQ21" i="24"/>
  <c r="BX21" i="24"/>
  <c r="BY21" i="24"/>
  <c r="BZ21" i="24"/>
  <c r="CA21" i="24"/>
  <c r="CN21" i="24"/>
  <c r="U43" i="24"/>
  <c r="CM21" i="24"/>
  <c r="X43" i="24"/>
  <c r="P44" i="24"/>
  <c r="P45" i="24"/>
  <c r="CF23" i="24"/>
  <c r="CG23" i="24"/>
  <c r="CO23" i="24"/>
  <c r="R45" i="24"/>
  <c r="BS23" i="24"/>
  <c r="BD23" i="24"/>
  <c r="BV23" i="24"/>
  <c r="BF23" i="24"/>
  <c r="BG23" i="24"/>
  <c r="BH23" i="24"/>
  <c r="BJ23" i="24"/>
  <c r="BL23" i="24"/>
  <c r="BI23" i="24"/>
  <c r="BK23" i="24"/>
  <c r="BT23" i="24"/>
  <c r="BM23" i="24"/>
  <c r="BW23" i="24"/>
  <c r="BO23" i="24"/>
  <c r="BN23" i="24"/>
  <c r="BR23" i="24"/>
  <c r="BU23" i="24"/>
  <c r="BP23" i="24"/>
  <c r="BQ23" i="24"/>
  <c r="BX23" i="24"/>
  <c r="BY23" i="24"/>
  <c r="BZ23" i="24"/>
  <c r="CA23" i="24"/>
  <c r="CN23" i="24"/>
  <c r="U45" i="24"/>
  <c r="CM23" i="24"/>
  <c r="X45" i="24"/>
  <c r="P46" i="24"/>
  <c r="CF24" i="24"/>
  <c r="CG24" i="24"/>
  <c r="CO24" i="24"/>
  <c r="R46" i="24"/>
  <c r="BS24" i="24"/>
  <c r="BD24" i="24"/>
  <c r="BV24" i="24"/>
  <c r="BF24" i="24"/>
  <c r="BG24" i="24"/>
  <c r="BH24" i="24"/>
  <c r="BJ24" i="24"/>
  <c r="BL24" i="24"/>
  <c r="BI24" i="24"/>
  <c r="BK24" i="24"/>
  <c r="BT24" i="24"/>
  <c r="BM24" i="24"/>
  <c r="BW24" i="24"/>
  <c r="BO24" i="24"/>
  <c r="BN24" i="24"/>
  <c r="BR24" i="24"/>
  <c r="BU24" i="24"/>
  <c r="BP24" i="24"/>
  <c r="BQ24" i="24"/>
  <c r="BX24" i="24"/>
  <c r="BY24" i="24"/>
  <c r="BZ24" i="24"/>
  <c r="CA24" i="24"/>
  <c r="CN24" i="24"/>
  <c r="U46" i="24"/>
  <c r="CM24" i="24"/>
  <c r="X46" i="24"/>
  <c r="P47" i="24"/>
  <c r="CF25" i="24"/>
  <c r="CG25" i="24"/>
  <c r="CO25" i="24"/>
  <c r="R47" i="24"/>
  <c r="BS25" i="24"/>
  <c r="BD25" i="24"/>
  <c r="BV25" i="24"/>
  <c r="BF25" i="24"/>
  <c r="BG25" i="24"/>
  <c r="BH25" i="24"/>
  <c r="BJ25" i="24"/>
  <c r="BL25" i="24"/>
  <c r="BI25" i="24"/>
  <c r="BK25" i="24"/>
  <c r="BT25" i="24"/>
  <c r="BM25" i="24"/>
  <c r="BW25" i="24"/>
  <c r="BO25" i="24"/>
  <c r="BN25" i="24"/>
  <c r="BR25" i="24"/>
  <c r="BU25" i="24"/>
  <c r="BP25" i="24"/>
  <c r="BQ25" i="24"/>
  <c r="BX25" i="24"/>
  <c r="BY25" i="24"/>
  <c r="BZ25" i="24"/>
  <c r="CA25" i="24"/>
  <c r="CN25" i="24"/>
  <c r="U47" i="24"/>
  <c r="CM25" i="24"/>
  <c r="X47" i="24"/>
  <c r="P48" i="24"/>
  <c r="CF26" i="24"/>
  <c r="CG26" i="24"/>
  <c r="CO26" i="24"/>
  <c r="R48" i="24"/>
  <c r="BS26" i="24"/>
  <c r="BD26" i="24"/>
  <c r="BV26" i="24"/>
  <c r="BF26" i="24"/>
  <c r="BG26" i="24"/>
  <c r="BH26" i="24"/>
  <c r="BJ26" i="24"/>
  <c r="BL26" i="24"/>
  <c r="BI26" i="24"/>
  <c r="BK26" i="24"/>
  <c r="BT26" i="24"/>
  <c r="BM26" i="24"/>
  <c r="BW26" i="24"/>
  <c r="BO26" i="24"/>
  <c r="BN26" i="24"/>
  <c r="BR26" i="24"/>
  <c r="BU26" i="24"/>
  <c r="BP26" i="24"/>
  <c r="BQ26" i="24"/>
  <c r="BX26" i="24"/>
  <c r="BY26" i="24"/>
  <c r="BZ26" i="24"/>
  <c r="CA26" i="24"/>
  <c r="CN26" i="24"/>
  <c r="U48" i="24"/>
  <c r="CM26" i="24"/>
  <c r="X48" i="24"/>
  <c r="P49" i="24"/>
  <c r="CF27" i="24"/>
  <c r="CG27" i="24"/>
  <c r="CO27" i="24"/>
  <c r="R49" i="24"/>
  <c r="BS27" i="24"/>
  <c r="BD27" i="24"/>
  <c r="BV27" i="24"/>
  <c r="BF27" i="24"/>
  <c r="BG27" i="24"/>
  <c r="BH27" i="24"/>
  <c r="BJ27" i="24"/>
  <c r="BL27" i="24"/>
  <c r="BI27" i="24"/>
  <c r="BK27" i="24"/>
  <c r="BT27" i="24"/>
  <c r="BM27" i="24"/>
  <c r="BW27" i="24"/>
  <c r="BO27" i="24"/>
  <c r="BN27" i="24"/>
  <c r="BR27" i="24"/>
  <c r="BU27" i="24"/>
  <c r="BP27" i="24"/>
  <c r="BQ27" i="24"/>
  <c r="BX27" i="24"/>
  <c r="BY27" i="24"/>
  <c r="BZ27" i="24"/>
  <c r="CA27" i="24"/>
  <c r="CN27" i="24"/>
  <c r="U49" i="24"/>
  <c r="CM27" i="24"/>
  <c r="X49" i="24"/>
  <c r="P50" i="24"/>
  <c r="CF28" i="24"/>
  <c r="CG28" i="24"/>
  <c r="CO28" i="24"/>
  <c r="R50" i="24"/>
  <c r="BS28" i="24"/>
  <c r="BD28" i="24"/>
  <c r="BV28" i="24"/>
  <c r="BF28" i="24"/>
  <c r="BG28" i="24"/>
  <c r="BH28" i="24"/>
  <c r="BJ28" i="24"/>
  <c r="BL28" i="24"/>
  <c r="BI28" i="24"/>
  <c r="BK28" i="24"/>
  <c r="BT28" i="24"/>
  <c r="BM28" i="24"/>
  <c r="BW28" i="24"/>
  <c r="BO28" i="24"/>
  <c r="BN28" i="24"/>
  <c r="BR28" i="24"/>
  <c r="BU28" i="24"/>
  <c r="BP28" i="24"/>
  <c r="BQ28" i="24"/>
  <c r="BX28" i="24"/>
  <c r="BY28" i="24"/>
  <c r="BZ28" i="24"/>
  <c r="CA28" i="24"/>
  <c r="CN28" i="24"/>
  <c r="U50" i="24"/>
  <c r="CM28" i="24"/>
  <c r="X50" i="24"/>
  <c r="P51" i="24"/>
  <c r="CF29" i="24"/>
  <c r="CG29" i="24"/>
  <c r="CO29" i="24"/>
  <c r="R51" i="24"/>
  <c r="BS29" i="24"/>
  <c r="BD29" i="24"/>
  <c r="BV29" i="24"/>
  <c r="BF29" i="24"/>
  <c r="BG29" i="24"/>
  <c r="BH29" i="24"/>
  <c r="BJ29" i="24"/>
  <c r="BL29" i="24"/>
  <c r="BI29" i="24"/>
  <c r="BK29" i="24"/>
  <c r="BT29" i="24"/>
  <c r="BM29" i="24"/>
  <c r="BW29" i="24"/>
  <c r="BO29" i="24"/>
  <c r="BN29" i="24"/>
  <c r="BR29" i="24"/>
  <c r="BU29" i="24"/>
  <c r="BP29" i="24"/>
  <c r="BQ29" i="24"/>
  <c r="BX29" i="24"/>
  <c r="BY29" i="24"/>
  <c r="BZ29" i="24"/>
  <c r="CA29" i="24"/>
  <c r="CN29" i="24"/>
  <c r="U51" i="24"/>
  <c r="CM29" i="24"/>
  <c r="X51" i="24"/>
  <c r="P52" i="24"/>
  <c r="CF30" i="24"/>
  <c r="CG30" i="24"/>
  <c r="CO30" i="24"/>
  <c r="R52" i="24"/>
  <c r="BS30" i="24"/>
  <c r="BD30" i="24"/>
  <c r="BV30" i="24"/>
  <c r="BF30" i="24"/>
  <c r="BG30" i="24"/>
  <c r="BH30" i="24"/>
  <c r="BJ30" i="24"/>
  <c r="BL30" i="24"/>
  <c r="BI30" i="24"/>
  <c r="BK30" i="24"/>
  <c r="BT30" i="24"/>
  <c r="BM30" i="24"/>
  <c r="BW30" i="24"/>
  <c r="BO30" i="24"/>
  <c r="BN30" i="24"/>
  <c r="BR30" i="24"/>
  <c r="BU30" i="24"/>
  <c r="BP30" i="24"/>
  <c r="BQ30" i="24"/>
  <c r="BX30" i="24"/>
  <c r="BY30" i="24"/>
  <c r="BZ30" i="24"/>
  <c r="CA30" i="24"/>
  <c r="CN30" i="24"/>
  <c r="U52" i="24"/>
  <c r="CM30" i="24"/>
  <c r="X52" i="24"/>
  <c r="P53" i="24"/>
  <c r="CF31" i="24"/>
  <c r="CG31" i="24"/>
  <c r="CO31" i="24"/>
  <c r="R53" i="24"/>
  <c r="BS31" i="24"/>
  <c r="BD31" i="24"/>
  <c r="BV31" i="24"/>
  <c r="BF31" i="24"/>
  <c r="BG31" i="24"/>
  <c r="BH31" i="24"/>
  <c r="BJ31" i="24"/>
  <c r="BL31" i="24"/>
  <c r="BI31" i="24"/>
  <c r="BK31" i="24"/>
  <c r="BT31" i="24"/>
  <c r="BM31" i="24"/>
  <c r="BW31" i="24"/>
  <c r="BO31" i="24"/>
  <c r="BN31" i="24"/>
  <c r="BR31" i="24"/>
  <c r="BU31" i="24"/>
  <c r="BP31" i="24"/>
  <c r="BQ31" i="24"/>
  <c r="BX31" i="24"/>
  <c r="BY31" i="24"/>
  <c r="BZ31" i="24"/>
  <c r="CA31" i="24"/>
  <c r="CN31" i="24"/>
  <c r="U53" i="24"/>
  <c r="CM31" i="24"/>
  <c r="X53" i="24"/>
  <c r="P54" i="24"/>
  <c r="CF32" i="24"/>
  <c r="CG32" i="24"/>
  <c r="CO32" i="24"/>
  <c r="R54" i="24"/>
  <c r="BS32" i="24"/>
  <c r="BD32" i="24"/>
  <c r="BV32" i="24"/>
  <c r="BF32" i="24"/>
  <c r="BG32" i="24"/>
  <c r="BH32" i="24"/>
  <c r="BJ32" i="24"/>
  <c r="BL32" i="24"/>
  <c r="BI32" i="24"/>
  <c r="BK32" i="24"/>
  <c r="BT32" i="24"/>
  <c r="BM32" i="24"/>
  <c r="BW32" i="24"/>
  <c r="BO32" i="24"/>
  <c r="BN32" i="24"/>
  <c r="BR32" i="24"/>
  <c r="BU32" i="24"/>
  <c r="BP32" i="24"/>
  <c r="BQ32" i="24"/>
  <c r="BX32" i="24"/>
  <c r="BY32" i="24"/>
  <c r="BZ32" i="24"/>
  <c r="CA32" i="24"/>
  <c r="CN32" i="24"/>
  <c r="U54" i="24"/>
  <c r="CM32" i="24"/>
  <c r="X54" i="24"/>
  <c r="P55" i="24"/>
  <c r="CF33" i="24"/>
  <c r="CG33" i="24"/>
  <c r="CO33" i="24"/>
  <c r="R55" i="24"/>
  <c r="BS33" i="24"/>
  <c r="BD33" i="24"/>
  <c r="BV33" i="24"/>
  <c r="BF33" i="24"/>
  <c r="BG33" i="24"/>
  <c r="BH33" i="24"/>
  <c r="BJ33" i="24"/>
  <c r="BL33" i="24"/>
  <c r="BI33" i="24"/>
  <c r="BK33" i="24"/>
  <c r="BT33" i="24"/>
  <c r="BM33" i="24"/>
  <c r="BW33" i="24"/>
  <c r="BO33" i="24"/>
  <c r="BN33" i="24"/>
  <c r="BR33" i="24"/>
  <c r="BU33" i="24"/>
  <c r="BP33" i="24"/>
  <c r="BQ33" i="24"/>
  <c r="BX33" i="24"/>
  <c r="BY33" i="24"/>
  <c r="BZ33" i="24"/>
  <c r="CA33" i="24"/>
  <c r="CN33" i="24"/>
  <c r="U55" i="24"/>
  <c r="CM33" i="24"/>
  <c r="X55" i="24"/>
  <c r="P56" i="24"/>
  <c r="CF34" i="24"/>
  <c r="CG34" i="24"/>
  <c r="CO34" i="24"/>
  <c r="R56" i="24"/>
  <c r="BS34" i="24"/>
  <c r="BD34" i="24"/>
  <c r="BV34" i="24"/>
  <c r="BF34" i="24"/>
  <c r="BG34" i="24"/>
  <c r="BH34" i="24"/>
  <c r="BJ34" i="24"/>
  <c r="BL34" i="24"/>
  <c r="BI34" i="24"/>
  <c r="BK34" i="24"/>
  <c r="BT34" i="24"/>
  <c r="BM34" i="24"/>
  <c r="BW34" i="24"/>
  <c r="BO34" i="24"/>
  <c r="BN34" i="24"/>
  <c r="BR34" i="24"/>
  <c r="BU34" i="24"/>
  <c r="BP34" i="24"/>
  <c r="BQ34" i="24"/>
  <c r="BX34" i="24"/>
  <c r="BY34" i="24"/>
  <c r="BZ34" i="24"/>
  <c r="CA34" i="24"/>
  <c r="CN34" i="24"/>
  <c r="U56" i="24"/>
  <c r="CM34" i="24"/>
  <c r="X56" i="24"/>
  <c r="P57" i="24"/>
  <c r="CF35" i="24"/>
  <c r="CG35" i="24"/>
  <c r="CO35" i="24"/>
  <c r="R57" i="24"/>
  <c r="BS35" i="24"/>
  <c r="BD35" i="24"/>
  <c r="BV35" i="24"/>
  <c r="BF35" i="24"/>
  <c r="BG35" i="24"/>
  <c r="BH35" i="24"/>
  <c r="BJ35" i="24"/>
  <c r="BL35" i="24"/>
  <c r="BI35" i="24"/>
  <c r="BK35" i="24"/>
  <c r="BT35" i="24"/>
  <c r="BM35" i="24"/>
  <c r="BW35" i="24"/>
  <c r="BO35" i="24"/>
  <c r="BN35" i="24"/>
  <c r="BR35" i="24"/>
  <c r="BU35" i="24"/>
  <c r="BP35" i="24"/>
  <c r="BQ35" i="24"/>
  <c r="BX35" i="24"/>
  <c r="BY35" i="24"/>
  <c r="BZ35" i="24"/>
  <c r="CA35" i="24"/>
  <c r="CN35" i="24"/>
  <c r="U57" i="24"/>
  <c r="CM35" i="24"/>
  <c r="X57" i="24"/>
  <c r="P58" i="24"/>
  <c r="CF36" i="24"/>
  <c r="CG36" i="24"/>
  <c r="CO36" i="24"/>
  <c r="R58" i="24"/>
  <c r="BS36" i="24"/>
  <c r="BD36" i="24"/>
  <c r="BV36" i="24"/>
  <c r="BF36" i="24"/>
  <c r="BG36" i="24"/>
  <c r="BH36" i="24"/>
  <c r="BJ36" i="24"/>
  <c r="BL36" i="24"/>
  <c r="BI36" i="24"/>
  <c r="BK36" i="24"/>
  <c r="BT36" i="24"/>
  <c r="BM36" i="24"/>
  <c r="BW36" i="24"/>
  <c r="BO36" i="24"/>
  <c r="BN36" i="24"/>
  <c r="BR36" i="24"/>
  <c r="BU36" i="24"/>
  <c r="BP36" i="24"/>
  <c r="BQ36" i="24"/>
  <c r="BX36" i="24"/>
  <c r="BY36" i="24"/>
  <c r="BZ36" i="24"/>
  <c r="CA36" i="24"/>
  <c r="CN36" i="24"/>
  <c r="U58" i="24"/>
  <c r="CM36" i="24"/>
  <c r="X58" i="24"/>
  <c r="P59" i="24"/>
  <c r="CF37" i="24"/>
  <c r="CG37" i="24"/>
  <c r="CO37" i="24"/>
  <c r="R59" i="24"/>
  <c r="BS37" i="24"/>
  <c r="BD37" i="24"/>
  <c r="BV37" i="24"/>
  <c r="BF37" i="24"/>
  <c r="BG37" i="24"/>
  <c r="BH37" i="24"/>
  <c r="BJ37" i="24"/>
  <c r="BL37" i="24"/>
  <c r="BI37" i="24"/>
  <c r="BK37" i="24"/>
  <c r="BT37" i="24"/>
  <c r="BM37" i="24"/>
  <c r="BW37" i="24"/>
  <c r="BO37" i="24"/>
  <c r="BN37" i="24"/>
  <c r="BR37" i="24"/>
  <c r="BU37" i="24"/>
  <c r="BP37" i="24"/>
  <c r="BQ37" i="24"/>
  <c r="BX37" i="24"/>
  <c r="BY37" i="24"/>
  <c r="BZ37" i="24"/>
  <c r="CA37" i="24"/>
  <c r="CN37" i="24"/>
  <c r="U59" i="24"/>
  <c r="CM37" i="24"/>
  <c r="X59" i="24"/>
  <c r="P60" i="24"/>
  <c r="CF38" i="24"/>
  <c r="CG38" i="24"/>
  <c r="CO38" i="24"/>
  <c r="R60" i="24"/>
  <c r="BS38" i="24"/>
  <c r="BD38" i="24"/>
  <c r="BV38" i="24"/>
  <c r="BF38" i="24"/>
  <c r="BG38" i="24"/>
  <c r="BH38" i="24"/>
  <c r="BJ38" i="24"/>
  <c r="BL38" i="24"/>
  <c r="BI38" i="24"/>
  <c r="BK38" i="24"/>
  <c r="BT38" i="24"/>
  <c r="BM38" i="24"/>
  <c r="BW38" i="24"/>
  <c r="BO38" i="24"/>
  <c r="BN38" i="24"/>
  <c r="BR38" i="24"/>
  <c r="BU38" i="24"/>
  <c r="BP38" i="24"/>
  <c r="BQ38" i="24"/>
  <c r="BX38" i="24"/>
  <c r="BY38" i="24"/>
  <c r="BZ38" i="24"/>
  <c r="CA38" i="24"/>
  <c r="CN38" i="24"/>
  <c r="U60" i="24"/>
  <c r="CM38" i="24"/>
  <c r="X60" i="24"/>
  <c r="P61" i="24"/>
  <c r="CF39" i="24"/>
  <c r="CG39" i="24"/>
  <c r="CO39" i="24"/>
  <c r="R61" i="24"/>
  <c r="BS39" i="24"/>
  <c r="BD39" i="24"/>
  <c r="BV39" i="24"/>
  <c r="BF39" i="24"/>
  <c r="BG39" i="24"/>
  <c r="BH39" i="24"/>
  <c r="BJ39" i="24"/>
  <c r="BL39" i="24"/>
  <c r="BI39" i="24"/>
  <c r="BK39" i="24"/>
  <c r="BT39" i="24"/>
  <c r="BM39" i="24"/>
  <c r="BW39" i="24"/>
  <c r="BO39" i="24"/>
  <c r="BN39" i="24"/>
  <c r="BR39" i="24"/>
  <c r="BU39" i="24"/>
  <c r="BP39" i="24"/>
  <c r="BQ39" i="24"/>
  <c r="BX39" i="24"/>
  <c r="BY39" i="24"/>
  <c r="BZ39" i="24"/>
  <c r="CA39" i="24"/>
  <c r="CN39" i="24"/>
  <c r="U61" i="24"/>
  <c r="CM39" i="24"/>
  <c r="X61" i="24"/>
  <c r="P62" i="24"/>
  <c r="CF40" i="24"/>
  <c r="CG40" i="24"/>
  <c r="CO40" i="24"/>
  <c r="R62" i="24"/>
  <c r="BS40" i="24"/>
  <c r="BD40" i="24"/>
  <c r="BV40" i="24"/>
  <c r="BF40" i="24"/>
  <c r="BG40" i="24"/>
  <c r="BH40" i="24"/>
  <c r="BJ40" i="24"/>
  <c r="BL40" i="24"/>
  <c r="BI40" i="24"/>
  <c r="BK40" i="24"/>
  <c r="BT40" i="24"/>
  <c r="BM40" i="24"/>
  <c r="BW40" i="24"/>
  <c r="BO40" i="24"/>
  <c r="BN40" i="24"/>
  <c r="BR40" i="24"/>
  <c r="BU40" i="24"/>
  <c r="BP40" i="24"/>
  <c r="BQ40" i="24"/>
  <c r="BX40" i="24"/>
  <c r="BY40" i="24"/>
  <c r="BZ40" i="24"/>
  <c r="CA40" i="24"/>
  <c r="CN40" i="24"/>
  <c r="U62" i="24"/>
  <c r="CM40" i="24"/>
  <c r="X62" i="24"/>
  <c r="P63" i="24"/>
  <c r="CF41" i="24"/>
  <c r="CG41" i="24"/>
  <c r="CO41" i="24"/>
  <c r="R63" i="24"/>
  <c r="BS41" i="24"/>
  <c r="BD41" i="24"/>
  <c r="BV41" i="24"/>
  <c r="BF41" i="24"/>
  <c r="BG41" i="24"/>
  <c r="BH41" i="24"/>
  <c r="BJ41" i="24"/>
  <c r="BL41" i="24"/>
  <c r="BI41" i="24"/>
  <c r="BK41" i="24"/>
  <c r="BT41" i="24"/>
  <c r="BM41" i="24"/>
  <c r="BW41" i="24"/>
  <c r="BO41" i="24"/>
  <c r="BN41" i="24"/>
  <c r="BR41" i="24"/>
  <c r="BU41" i="24"/>
  <c r="BP41" i="24"/>
  <c r="BQ41" i="24"/>
  <c r="BX41" i="24"/>
  <c r="BY41" i="24"/>
  <c r="BZ41" i="24"/>
  <c r="CA41" i="24"/>
  <c r="CN41" i="24"/>
  <c r="U63" i="24"/>
  <c r="CM41" i="24"/>
  <c r="X63" i="24"/>
  <c r="P64" i="24"/>
  <c r="CF42" i="24"/>
  <c r="CG42" i="24"/>
  <c r="CO42" i="24"/>
  <c r="R64" i="24"/>
  <c r="BS42" i="24"/>
  <c r="BD42" i="24"/>
  <c r="BV42" i="24"/>
  <c r="BF42" i="24"/>
  <c r="BG42" i="24"/>
  <c r="BH42" i="24"/>
  <c r="BJ42" i="24"/>
  <c r="BL42" i="24"/>
  <c r="BI42" i="24"/>
  <c r="BK42" i="24"/>
  <c r="BT42" i="24"/>
  <c r="BM42" i="24"/>
  <c r="BW42" i="24"/>
  <c r="BO42" i="24"/>
  <c r="BN42" i="24"/>
  <c r="BR42" i="24"/>
  <c r="BU42" i="24"/>
  <c r="BP42" i="24"/>
  <c r="BQ42" i="24"/>
  <c r="BX42" i="24"/>
  <c r="BY42" i="24"/>
  <c r="BZ42" i="24"/>
  <c r="CA42" i="24"/>
  <c r="CN42" i="24"/>
  <c r="U64" i="24"/>
  <c r="CM42" i="24"/>
  <c r="X64" i="24"/>
  <c r="P65" i="24"/>
  <c r="CF43" i="24"/>
  <c r="CG43" i="24"/>
  <c r="CO43" i="24"/>
  <c r="R65" i="24"/>
  <c r="BS43" i="24"/>
  <c r="BD43" i="24"/>
  <c r="BV43" i="24"/>
  <c r="BF43" i="24"/>
  <c r="BG43" i="24"/>
  <c r="BH43" i="24"/>
  <c r="BJ43" i="24"/>
  <c r="BL43" i="24"/>
  <c r="BI43" i="24"/>
  <c r="BK43" i="24"/>
  <c r="BT43" i="24"/>
  <c r="BM43" i="24"/>
  <c r="BW43" i="24"/>
  <c r="BO43" i="24"/>
  <c r="BN43" i="24"/>
  <c r="BR43" i="24"/>
  <c r="BU43" i="24"/>
  <c r="BP43" i="24"/>
  <c r="BQ43" i="24"/>
  <c r="BX43" i="24"/>
  <c r="BY43" i="24"/>
  <c r="BZ43" i="24"/>
  <c r="CA43" i="24"/>
  <c r="CN43" i="24"/>
  <c r="U65" i="24"/>
  <c r="CM43" i="24"/>
  <c r="X65" i="24"/>
  <c r="P66" i="24"/>
  <c r="CF44" i="24"/>
  <c r="CG44" i="24"/>
  <c r="CO44" i="24"/>
  <c r="R66" i="24"/>
  <c r="BS44" i="24"/>
  <c r="BD44" i="24"/>
  <c r="BV44" i="24"/>
  <c r="BF44" i="24"/>
  <c r="BG44" i="24"/>
  <c r="BH44" i="24"/>
  <c r="BJ44" i="24"/>
  <c r="BL44" i="24"/>
  <c r="BI44" i="24"/>
  <c r="BK44" i="24"/>
  <c r="BT44" i="24"/>
  <c r="BM44" i="24"/>
  <c r="BW44" i="24"/>
  <c r="BO44" i="24"/>
  <c r="BN44" i="24"/>
  <c r="BR44" i="24"/>
  <c r="BU44" i="24"/>
  <c r="BP44" i="24"/>
  <c r="BQ44" i="24"/>
  <c r="BX44" i="24"/>
  <c r="BY44" i="24"/>
  <c r="BZ44" i="24"/>
  <c r="CA44" i="24"/>
  <c r="CN44" i="24"/>
  <c r="U66" i="24"/>
  <c r="CM44" i="24"/>
  <c r="X66" i="24"/>
  <c r="P67" i="24"/>
  <c r="CF45" i="24"/>
  <c r="CG45" i="24"/>
  <c r="CO45" i="24"/>
  <c r="R67" i="24"/>
  <c r="BS45" i="24"/>
  <c r="BD45" i="24"/>
  <c r="BV45" i="24"/>
  <c r="BF45" i="24"/>
  <c r="BG45" i="24"/>
  <c r="BH45" i="24"/>
  <c r="BJ45" i="24"/>
  <c r="BL45" i="24"/>
  <c r="BI45" i="24"/>
  <c r="BK45" i="24"/>
  <c r="BT45" i="24"/>
  <c r="BM45" i="24"/>
  <c r="BW45" i="24"/>
  <c r="BO45" i="24"/>
  <c r="BN45" i="24"/>
  <c r="BR45" i="24"/>
  <c r="BU45" i="24"/>
  <c r="BP45" i="24"/>
  <c r="BQ45" i="24"/>
  <c r="BX45" i="24"/>
  <c r="BY45" i="24"/>
  <c r="BZ45" i="24"/>
  <c r="CA45" i="24"/>
  <c r="CN45" i="24"/>
  <c r="U67" i="24"/>
  <c r="CM45" i="24"/>
  <c r="X67" i="24"/>
  <c r="P68" i="24"/>
  <c r="CF46" i="24"/>
  <c r="CG46" i="24"/>
  <c r="CO46" i="24"/>
  <c r="R68" i="24"/>
  <c r="BS46" i="24"/>
  <c r="BD46" i="24"/>
  <c r="BV46" i="24"/>
  <c r="BF46" i="24"/>
  <c r="BG46" i="24"/>
  <c r="BH46" i="24"/>
  <c r="BJ46" i="24"/>
  <c r="BL46" i="24"/>
  <c r="BI46" i="24"/>
  <c r="BK46" i="24"/>
  <c r="BT46" i="24"/>
  <c r="BM46" i="24"/>
  <c r="BW46" i="24"/>
  <c r="BO46" i="24"/>
  <c r="BN46" i="24"/>
  <c r="BR46" i="24"/>
  <c r="BU46" i="24"/>
  <c r="BP46" i="24"/>
  <c r="BQ46" i="24"/>
  <c r="BX46" i="24"/>
  <c r="BY46" i="24"/>
  <c r="BZ46" i="24"/>
  <c r="CA46" i="24"/>
  <c r="CN46" i="24"/>
  <c r="U68" i="24"/>
  <c r="CM46" i="24"/>
  <c r="X68" i="24"/>
  <c r="P69" i="24"/>
  <c r="CF47" i="24"/>
  <c r="CG47" i="24"/>
  <c r="CO47" i="24"/>
  <c r="R69" i="24"/>
  <c r="BS47" i="24"/>
  <c r="BD47" i="24"/>
  <c r="BV47" i="24"/>
  <c r="BF47" i="24"/>
  <c r="BG47" i="24"/>
  <c r="BH47" i="24"/>
  <c r="BJ47" i="24"/>
  <c r="BL47" i="24"/>
  <c r="BI47" i="24"/>
  <c r="BK47" i="24"/>
  <c r="BT47" i="24"/>
  <c r="BM47" i="24"/>
  <c r="BW47" i="24"/>
  <c r="BO47" i="24"/>
  <c r="BN47" i="24"/>
  <c r="BR47" i="24"/>
  <c r="BU47" i="24"/>
  <c r="BP47" i="24"/>
  <c r="BQ47" i="24"/>
  <c r="BX47" i="24"/>
  <c r="BY47" i="24"/>
  <c r="BZ47" i="24"/>
  <c r="CA47" i="24"/>
  <c r="CN47" i="24"/>
  <c r="U69" i="24"/>
  <c r="CM47" i="24"/>
  <c r="X69" i="24"/>
  <c r="P70" i="24"/>
  <c r="CF48" i="24"/>
  <c r="CG48" i="24"/>
  <c r="CO48" i="24"/>
  <c r="R70" i="24"/>
  <c r="BS48" i="24"/>
  <c r="BD48" i="24"/>
  <c r="BV48" i="24"/>
  <c r="BF48" i="24"/>
  <c r="BG48" i="24"/>
  <c r="BH48" i="24"/>
  <c r="BJ48" i="24"/>
  <c r="BL48" i="24"/>
  <c r="BI48" i="24"/>
  <c r="BK48" i="24"/>
  <c r="BT48" i="24"/>
  <c r="BM48" i="24"/>
  <c r="BW48" i="24"/>
  <c r="BO48" i="24"/>
  <c r="BN48" i="24"/>
  <c r="BR48" i="24"/>
  <c r="BU48" i="24"/>
  <c r="BP48" i="24"/>
  <c r="BQ48" i="24"/>
  <c r="BX48" i="24"/>
  <c r="BY48" i="24"/>
  <c r="BZ48" i="24"/>
  <c r="CA48" i="24"/>
  <c r="CN48" i="24"/>
  <c r="U70" i="24"/>
  <c r="CM48" i="24"/>
  <c r="X70" i="24"/>
  <c r="P71" i="24"/>
  <c r="CF49" i="24"/>
  <c r="CG49" i="24"/>
  <c r="CO49" i="24"/>
  <c r="R71" i="24"/>
  <c r="BS49" i="24"/>
  <c r="BD49" i="24"/>
  <c r="BV49" i="24"/>
  <c r="BF49" i="24"/>
  <c r="BG49" i="24"/>
  <c r="BH49" i="24"/>
  <c r="BJ49" i="24"/>
  <c r="BL49" i="24"/>
  <c r="BI49" i="24"/>
  <c r="BK49" i="24"/>
  <c r="BT49" i="24"/>
  <c r="BM49" i="24"/>
  <c r="BW49" i="24"/>
  <c r="BO49" i="24"/>
  <c r="BN49" i="24"/>
  <c r="BR49" i="24"/>
  <c r="BU49" i="24"/>
  <c r="BP49" i="24"/>
  <c r="BQ49" i="24"/>
  <c r="BX49" i="24"/>
  <c r="BY49" i="24"/>
  <c r="BZ49" i="24"/>
  <c r="CA49" i="24"/>
  <c r="CN49" i="24"/>
  <c r="U71" i="24"/>
  <c r="CM49" i="24"/>
  <c r="X71" i="24"/>
  <c r="P72" i="24"/>
  <c r="CF50" i="24"/>
  <c r="CG50" i="24"/>
  <c r="CO50" i="24"/>
  <c r="R72" i="24"/>
  <c r="BS50" i="24"/>
  <c r="BD50" i="24"/>
  <c r="BV50" i="24"/>
  <c r="BF50" i="24"/>
  <c r="BG50" i="24"/>
  <c r="BH50" i="24"/>
  <c r="BJ50" i="24"/>
  <c r="BL50" i="24"/>
  <c r="BI50" i="24"/>
  <c r="BK50" i="24"/>
  <c r="BT50" i="24"/>
  <c r="BM50" i="24"/>
  <c r="BW50" i="24"/>
  <c r="BO50" i="24"/>
  <c r="BN50" i="24"/>
  <c r="BR50" i="24"/>
  <c r="BU50" i="24"/>
  <c r="BP50" i="24"/>
  <c r="BQ50" i="24"/>
  <c r="BX50" i="24"/>
  <c r="BY50" i="24"/>
  <c r="BZ50" i="24"/>
  <c r="CA50" i="24"/>
  <c r="CN50" i="24"/>
  <c r="U72" i="24"/>
  <c r="CM50" i="24"/>
  <c r="X72" i="24"/>
  <c r="P73" i="24"/>
  <c r="CF51" i="24"/>
  <c r="CG51" i="24"/>
  <c r="CO51" i="24"/>
  <c r="R73" i="24"/>
  <c r="BS51" i="24"/>
  <c r="BD51" i="24"/>
  <c r="BV51" i="24"/>
  <c r="BF51" i="24"/>
  <c r="BG51" i="24"/>
  <c r="BH51" i="24"/>
  <c r="BJ51" i="24"/>
  <c r="BL51" i="24"/>
  <c r="BI51" i="24"/>
  <c r="BK51" i="24"/>
  <c r="BT51" i="24"/>
  <c r="BM51" i="24"/>
  <c r="BW51" i="24"/>
  <c r="BO51" i="24"/>
  <c r="BN51" i="24"/>
  <c r="BR51" i="24"/>
  <c r="BU51" i="24"/>
  <c r="BP51" i="24"/>
  <c r="BQ51" i="24"/>
  <c r="BX51" i="24"/>
  <c r="BY51" i="24"/>
  <c r="BZ51" i="24"/>
  <c r="CA51" i="24"/>
  <c r="CN51" i="24"/>
  <c r="U73" i="24"/>
  <c r="CM51" i="24"/>
  <c r="X73" i="24"/>
  <c r="P74" i="24"/>
  <c r="CF52" i="24"/>
  <c r="CG52" i="24"/>
  <c r="CO52" i="24"/>
  <c r="R74" i="24"/>
  <c r="BS52" i="24"/>
  <c r="BD52" i="24"/>
  <c r="BV52" i="24"/>
  <c r="BF52" i="24"/>
  <c r="BG52" i="24"/>
  <c r="BH52" i="24"/>
  <c r="BJ52" i="24"/>
  <c r="BL52" i="24"/>
  <c r="BI52" i="24"/>
  <c r="BK52" i="24"/>
  <c r="BT52" i="24"/>
  <c r="BM52" i="24"/>
  <c r="BW52" i="24"/>
  <c r="BO52" i="24"/>
  <c r="BN52" i="24"/>
  <c r="BR52" i="24"/>
  <c r="BU52" i="24"/>
  <c r="BP52" i="24"/>
  <c r="BQ52" i="24"/>
  <c r="BX52" i="24"/>
  <c r="BY52" i="24"/>
  <c r="BZ52" i="24"/>
  <c r="CA52" i="24"/>
  <c r="CN52" i="24"/>
  <c r="U74" i="24"/>
  <c r="CM52" i="24"/>
  <c r="X74" i="24"/>
  <c r="P75" i="24"/>
  <c r="CF53" i="24"/>
  <c r="CG53" i="24"/>
  <c r="CO53" i="24"/>
  <c r="R75" i="24"/>
  <c r="BS53" i="24"/>
  <c r="BD53" i="24"/>
  <c r="BV53" i="24"/>
  <c r="BF53" i="24"/>
  <c r="BG53" i="24"/>
  <c r="BH53" i="24"/>
  <c r="BJ53" i="24"/>
  <c r="BL53" i="24"/>
  <c r="BI53" i="24"/>
  <c r="BK53" i="24"/>
  <c r="BT53" i="24"/>
  <c r="BM53" i="24"/>
  <c r="BW53" i="24"/>
  <c r="BO53" i="24"/>
  <c r="BN53" i="24"/>
  <c r="BR53" i="24"/>
  <c r="BU53" i="24"/>
  <c r="BP53" i="24"/>
  <c r="BQ53" i="24"/>
  <c r="BX53" i="24"/>
  <c r="BY53" i="24"/>
  <c r="BZ53" i="24"/>
  <c r="CA53" i="24"/>
  <c r="CN53" i="24"/>
  <c r="U75" i="24"/>
  <c r="CM53" i="24"/>
  <c r="X75" i="24"/>
  <c r="P76" i="24"/>
  <c r="CF54" i="24"/>
  <c r="CG54" i="24"/>
  <c r="CO54" i="24"/>
  <c r="R76" i="24"/>
  <c r="BS54" i="24"/>
  <c r="BD54" i="24"/>
  <c r="BV54" i="24"/>
  <c r="BF54" i="24"/>
  <c r="BG54" i="24"/>
  <c r="BH54" i="24"/>
  <c r="BJ54" i="24"/>
  <c r="BL54" i="24"/>
  <c r="BI54" i="24"/>
  <c r="BK54" i="24"/>
  <c r="BT54" i="24"/>
  <c r="BM54" i="24"/>
  <c r="BW54" i="24"/>
  <c r="BO54" i="24"/>
  <c r="BN54" i="24"/>
  <c r="BR54" i="24"/>
  <c r="BU54" i="24"/>
  <c r="BP54" i="24"/>
  <c r="BQ54" i="24"/>
  <c r="BX54" i="24"/>
  <c r="BY54" i="24"/>
  <c r="BZ54" i="24"/>
  <c r="CA54" i="24"/>
  <c r="CN54" i="24"/>
  <c r="U76" i="24"/>
  <c r="CM54" i="24"/>
  <c r="X76" i="24"/>
  <c r="P77" i="24"/>
  <c r="CF55" i="24"/>
  <c r="CG55" i="24"/>
  <c r="CO55" i="24"/>
  <c r="R77" i="24"/>
  <c r="BS55" i="24"/>
  <c r="BD55" i="24"/>
  <c r="BV55" i="24"/>
  <c r="BF55" i="24"/>
  <c r="BG55" i="24"/>
  <c r="BH55" i="24"/>
  <c r="BJ55" i="24"/>
  <c r="BL55" i="24"/>
  <c r="BI55" i="24"/>
  <c r="BK55" i="24"/>
  <c r="BT55" i="24"/>
  <c r="BM55" i="24"/>
  <c r="BW55" i="24"/>
  <c r="BO55" i="24"/>
  <c r="BN55" i="24"/>
  <c r="BR55" i="24"/>
  <c r="BU55" i="24"/>
  <c r="BP55" i="24"/>
  <c r="BQ55" i="24"/>
  <c r="BX55" i="24"/>
  <c r="BY55" i="24"/>
  <c r="BZ55" i="24"/>
  <c r="CA55" i="24"/>
  <c r="CN55" i="24"/>
  <c r="U77" i="24"/>
  <c r="CM55" i="24"/>
  <c r="X77" i="24"/>
  <c r="P78" i="24"/>
  <c r="CF56" i="24"/>
  <c r="CG56" i="24"/>
  <c r="CO56" i="24"/>
  <c r="R78" i="24"/>
  <c r="BS56" i="24"/>
  <c r="BD56" i="24"/>
  <c r="BV56" i="24"/>
  <c r="BF56" i="24"/>
  <c r="BG56" i="24"/>
  <c r="BH56" i="24"/>
  <c r="BJ56" i="24"/>
  <c r="BL56" i="24"/>
  <c r="BI56" i="24"/>
  <c r="BK56" i="24"/>
  <c r="BT56" i="24"/>
  <c r="BM56" i="24"/>
  <c r="BW56" i="24"/>
  <c r="BO56" i="24"/>
  <c r="BN56" i="24"/>
  <c r="BR56" i="24"/>
  <c r="BU56" i="24"/>
  <c r="BP56" i="24"/>
  <c r="BQ56" i="24"/>
  <c r="BX56" i="24"/>
  <c r="BY56" i="24"/>
  <c r="BZ56" i="24"/>
  <c r="CA56" i="24"/>
  <c r="CN56" i="24"/>
  <c r="U78" i="24"/>
  <c r="CM56" i="24"/>
  <c r="X78" i="24"/>
  <c r="P79" i="24"/>
  <c r="CF57" i="24"/>
  <c r="CG57" i="24"/>
  <c r="CO57" i="24"/>
  <c r="R79" i="24"/>
  <c r="BS57" i="24"/>
  <c r="BD57" i="24"/>
  <c r="BV57" i="24"/>
  <c r="BF57" i="24"/>
  <c r="BG57" i="24"/>
  <c r="BH57" i="24"/>
  <c r="BJ57" i="24"/>
  <c r="BL57" i="24"/>
  <c r="BI57" i="24"/>
  <c r="BK57" i="24"/>
  <c r="BT57" i="24"/>
  <c r="BM57" i="24"/>
  <c r="BW57" i="24"/>
  <c r="BO57" i="24"/>
  <c r="BN57" i="24"/>
  <c r="BR57" i="24"/>
  <c r="BU57" i="24"/>
  <c r="BP57" i="24"/>
  <c r="BQ57" i="24"/>
  <c r="BX57" i="24"/>
  <c r="BY57" i="24"/>
  <c r="BZ57" i="24"/>
  <c r="CA57" i="24"/>
  <c r="CN57" i="24"/>
  <c r="U79" i="24"/>
  <c r="CM57" i="24"/>
  <c r="X79" i="24"/>
  <c r="P80" i="24"/>
  <c r="CF58" i="24"/>
  <c r="CG58" i="24"/>
  <c r="CO58" i="24"/>
  <c r="R80" i="24"/>
  <c r="BS58" i="24"/>
  <c r="BD58" i="24"/>
  <c r="BV58" i="24"/>
  <c r="BF58" i="24"/>
  <c r="BG58" i="24"/>
  <c r="BH58" i="24"/>
  <c r="BJ58" i="24"/>
  <c r="BL58" i="24"/>
  <c r="BI58" i="24"/>
  <c r="BK58" i="24"/>
  <c r="BT58" i="24"/>
  <c r="BM58" i="24"/>
  <c r="BW58" i="24"/>
  <c r="BO58" i="24"/>
  <c r="BN58" i="24"/>
  <c r="BR58" i="24"/>
  <c r="BU58" i="24"/>
  <c r="BP58" i="24"/>
  <c r="BQ58" i="24"/>
  <c r="BX58" i="24"/>
  <c r="BY58" i="24"/>
  <c r="BZ58" i="24"/>
  <c r="CA58" i="24"/>
  <c r="CN58" i="24"/>
  <c r="U80" i="24"/>
  <c r="CM58" i="24"/>
  <c r="X80" i="24"/>
  <c r="P81" i="24"/>
  <c r="CF59" i="24"/>
  <c r="CG59" i="24"/>
  <c r="CO59" i="24"/>
  <c r="R81" i="24"/>
  <c r="BS59" i="24"/>
  <c r="BD59" i="24"/>
  <c r="BV59" i="24"/>
  <c r="BF59" i="24"/>
  <c r="BG59" i="24"/>
  <c r="BH59" i="24"/>
  <c r="BJ59" i="24"/>
  <c r="BL59" i="24"/>
  <c r="BI59" i="24"/>
  <c r="BK59" i="24"/>
  <c r="BT59" i="24"/>
  <c r="BM59" i="24"/>
  <c r="BW59" i="24"/>
  <c r="BO59" i="24"/>
  <c r="BN59" i="24"/>
  <c r="BR59" i="24"/>
  <c r="BU59" i="24"/>
  <c r="BP59" i="24"/>
  <c r="BQ59" i="24"/>
  <c r="BX59" i="24"/>
  <c r="BY59" i="24"/>
  <c r="BZ59" i="24"/>
  <c r="CA59" i="24"/>
  <c r="CN59" i="24"/>
  <c r="U81" i="24"/>
  <c r="CM59" i="24"/>
  <c r="X81" i="24"/>
  <c r="P82" i="24"/>
  <c r="CF60" i="24"/>
  <c r="CG60" i="24"/>
  <c r="CO60" i="24"/>
  <c r="R82" i="24"/>
  <c r="BS60" i="24"/>
  <c r="BD60" i="24"/>
  <c r="BV60" i="24"/>
  <c r="BF60" i="24"/>
  <c r="BG60" i="24"/>
  <c r="BH60" i="24"/>
  <c r="BJ60" i="24"/>
  <c r="BL60" i="24"/>
  <c r="BI60" i="24"/>
  <c r="BK60" i="24"/>
  <c r="BT60" i="24"/>
  <c r="BM60" i="24"/>
  <c r="BW60" i="24"/>
  <c r="BO60" i="24"/>
  <c r="BN60" i="24"/>
  <c r="BR60" i="24"/>
  <c r="BU60" i="24"/>
  <c r="BP60" i="24"/>
  <c r="BQ60" i="24"/>
  <c r="BX60" i="24"/>
  <c r="BY60" i="24"/>
  <c r="BZ60" i="24"/>
  <c r="CA60" i="24"/>
  <c r="CN60" i="24"/>
  <c r="U82" i="24"/>
  <c r="CM60" i="24"/>
  <c r="X82" i="24"/>
  <c r="P83" i="24"/>
  <c r="CF61" i="24"/>
  <c r="CG61" i="24"/>
  <c r="CO61" i="24"/>
  <c r="R83" i="24"/>
  <c r="BS61" i="24"/>
  <c r="BD61" i="24"/>
  <c r="BV61" i="24"/>
  <c r="BF61" i="24"/>
  <c r="BG61" i="24"/>
  <c r="BH61" i="24"/>
  <c r="BJ61" i="24"/>
  <c r="BL61" i="24"/>
  <c r="BI61" i="24"/>
  <c r="BK61" i="24"/>
  <c r="BT61" i="24"/>
  <c r="BM61" i="24"/>
  <c r="BW61" i="24"/>
  <c r="BO61" i="24"/>
  <c r="BN61" i="24"/>
  <c r="BR61" i="24"/>
  <c r="BU61" i="24"/>
  <c r="BP61" i="24"/>
  <c r="BQ61" i="24"/>
  <c r="BX61" i="24"/>
  <c r="BY61" i="24"/>
  <c r="BZ61" i="24"/>
  <c r="CA61" i="24"/>
  <c r="CN61" i="24"/>
  <c r="U83" i="24"/>
  <c r="CM61" i="24"/>
  <c r="X83" i="24"/>
  <c r="P84" i="24"/>
  <c r="CF62" i="24"/>
  <c r="CG62" i="24"/>
  <c r="CO62" i="24"/>
  <c r="R84" i="24"/>
  <c r="BS62" i="24"/>
  <c r="BD62" i="24"/>
  <c r="BV62" i="24"/>
  <c r="BF62" i="24"/>
  <c r="BG62" i="24"/>
  <c r="BH62" i="24"/>
  <c r="BJ62" i="24"/>
  <c r="BL62" i="24"/>
  <c r="BI62" i="24"/>
  <c r="BK62" i="24"/>
  <c r="BT62" i="24"/>
  <c r="BM62" i="24"/>
  <c r="BW62" i="24"/>
  <c r="BO62" i="24"/>
  <c r="BN62" i="24"/>
  <c r="BR62" i="24"/>
  <c r="BU62" i="24"/>
  <c r="BP62" i="24"/>
  <c r="BQ62" i="24"/>
  <c r="BX62" i="24"/>
  <c r="BY62" i="24"/>
  <c r="BZ62" i="24"/>
  <c r="CA62" i="24"/>
  <c r="CN62" i="24"/>
  <c r="U84" i="24"/>
  <c r="CM62" i="24"/>
  <c r="X84" i="24"/>
  <c r="P85" i="24"/>
  <c r="CF63" i="24"/>
  <c r="CG63" i="24"/>
  <c r="CO63" i="24"/>
  <c r="R85" i="24"/>
  <c r="BS63" i="24"/>
  <c r="BD63" i="24"/>
  <c r="BV63" i="24"/>
  <c r="BF63" i="24"/>
  <c r="BG63" i="24"/>
  <c r="BH63" i="24"/>
  <c r="BJ63" i="24"/>
  <c r="BL63" i="24"/>
  <c r="BI63" i="24"/>
  <c r="BK63" i="24"/>
  <c r="BT63" i="24"/>
  <c r="BM63" i="24"/>
  <c r="BW63" i="24"/>
  <c r="BO63" i="24"/>
  <c r="BN63" i="24"/>
  <c r="BR63" i="24"/>
  <c r="BU63" i="24"/>
  <c r="BP63" i="24"/>
  <c r="BQ63" i="24"/>
  <c r="BX63" i="24"/>
  <c r="BY63" i="24"/>
  <c r="BZ63" i="24"/>
  <c r="CA63" i="24"/>
  <c r="CN63" i="24"/>
  <c r="U85" i="24"/>
  <c r="CM63" i="24"/>
  <c r="X85" i="24"/>
  <c r="P86" i="24"/>
  <c r="CF64" i="24"/>
  <c r="CG64" i="24"/>
  <c r="CO64" i="24"/>
  <c r="R86" i="24"/>
  <c r="BS64" i="24"/>
  <c r="BD64" i="24"/>
  <c r="BV64" i="24"/>
  <c r="BF64" i="24"/>
  <c r="BG64" i="24"/>
  <c r="BH64" i="24"/>
  <c r="BJ64" i="24"/>
  <c r="BL64" i="24"/>
  <c r="BI64" i="24"/>
  <c r="BK64" i="24"/>
  <c r="BT64" i="24"/>
  <c r="BM64" i="24"/>
  <c r="BW64" i="24"/>
  <c r="BO64" i="24"/>
  <c r="BN64" i="24"/>
  <c r="BR64" i="24"/>
  <c r="BU64" i="24"/>
  <c r="BP64" i="24"/>
  <c r="BQ64" i="24"/>
  <c r="BX64" i="24"/>
  <c r="BY64" i="24"/>
  <c r="BZ64" i="24"/>
  <c r="CA64" i="24"/>
  <c r="CN64" i="24"/>
  <c r="U86" i="24"/>
  <c r="CM64" i="24"/>
  <c r="X86" i="24"/>
  <c r="P87" i="24"/>
  <c r="CF65" i="24"/>
  <c r="CG65" i="24"/>
  <c r="CO65" i="24"/>
  <c r="R87" i="24"/>
  <c r="BS65" i="24"/>
  <c r="BD65" i="24"/>
  <c r="BV65" i="24"/>
  <c r="BF65" i="24"/>
  <c r="BG65" i="24"/>
  <c r="BH65" i="24"/>
  <c r="BJ65" i="24"/>
  <c r="BL65" i="24"/>
  <c r="BI65" i="24"/>
  <c r="BK65" i="24"/>
  <c r="BT65" i="24"/>
  <c r="BM65" i="24"/>
  <c r="BW65" i="24"/>
  <c r="BO65" i="24"/>
  <c r="BN65" i="24"/>
  <c r="BR65" i="24"/>
  <c r="BU65" i="24"/>
  <c r="BP65" i="24"/>
  <c r="BQ65" i="24"/>
  <c r="BX65" i="24"/>
  <c r="BY65" i="24"/>
  <c r="BZ65" i="24"/>
  <c r="CA65" i="24"/>
  <c r="CN65" i="24"/>
  <c r="U87" i="24"/>
  <c r="CM65" i="24"/>
  <c r="X87" i="24"/>
  <c r="P88" i="24"/>
  <c r="CF66" i="24"/>
  <c r="CG66" i="24"/>
  <c r="CO66" i="24"/>
  <c r="R88" i="24"/>
  <c r="BS66" i="24"/>
  <c r="BD66" i="24"/>
  <c r="BV66" i="24"/>
  <c r="BF66" i="24"/>
  <c r="BG66" i="24"/>
  <c r="BH66" i="24"/>
  <c r="BJ66" i="24"/>
  <c r="BL66" i="24"/>
  <c r="BI66" i="24"/>
  <c r="BK66" i="24"/>
  <c r="BT66" i="24"/>
  <c r="BM66" i="24"/>
  <c r="BW66" i="24"/>
  <c r="BO66" i="24"/>
  <c r="BN66" i="24"/>
  <c r="BR66" i="24"/>
  <c r="BU66" i="24"/>
  <c r="BP66" i="24"/>
  <c r="BQ66" i="24"/>
  <c r="BX66" i="24"/>
  <c r="BY66" i="24"/>
  <c r="BZ66" i="24"/>
  <c r="CA66" i="24"/>
  <c r="CN66" i="24"/>
  <c r="U88" i="24"/>
  <c r="CM66" i="24"/>
  <c r="X88" i="24"/>
  <c r="P89" i="24"/>
  <c r="CF67" i="24"/>
  <c r="CG67" i="24"/>
  <c r="CO67" i="24"/>
  <c r="R89" i="24"/>
  <c r="BS67" i="24"/>
  <c r="BD67" i="24"/>
  <c r="BV67" i="24"/>
  <c r="BF67" i="24"/>
  <c r="BG67" i="24"/>
  <c r="BH67" i="24"/>
  <c r="BJ67" i="24"/>
  <c r="BL67" i="24"/>
  <c r="BI67" i="24"/>
  <c r="BK67" i="24"/>
  <c r="BT67" i="24"/>
  <c r="BM67" i="24"/>
  <c r="BW67" i="24"/>
  <c r="BO67" i="24"/>
  <c r="BN67" i="24"/>
  <c r="BR67" i="24"/>
  <c r="BU67" i="24"/>
  <c r="BP67" i="24"/>
  <c r="BQ67" i="24"/>
  <c r="BX67" i="24"/>
  <c r="BY67" i="24"/>
  <c r="BZ67" i="24"/>
  <c r="CA67" i="24"/>
  <c r="CN67" i="24"/>
  <c r="U89" i="24"/>
  <c r="CM67" i="24"/>
  <c r="X89" i="24"/>
  <c r="AT68" i="24"/>
  <c r="AU68" i="24"/>
  <c r="CP68" i="24"/>
  <c r="P90" i="24"/>
  <c r="AJ68" i="24"/>
  <c r="AV68" i="24"/>
  <c r="CF68" i="24"/>
  <c r="AW68" i="24"/>
  <c r="CG68" i="24"/>
  <c r="CO68" i="24"/>
  <c r="R90" i="24"/>
  <c r="BS68" i="24"/>
  <c r="BD68" i="24"/>
  <c r="BV68" i="24"/>
  <c r="BF68" i="24"/>
  <c r="BG68" i="24"/>
  <c r="BH68" i="24"/>
  <c r="BJ68" i="24"/>
  <c r="BL68" i="24"/>
  <c r="BI68" i="24"/>
  <c r="BK68" i="24"/>
  <c r="BT68" i="24"/>
  <c r="BM68" i="24"/>
  <c r="BW68" i="24"/>
  <c r="BO68" i="24"/>
  <c r="BN68" i="24"/>
  <c r="BR68" i="24"/>
  <c r="BU68" i="24"/>
  <c r="BP68" i="24"/>
  <c r="BQ68" i="24"/>
  <c r="BX68" i="24"/>
  <c r="BY68" i="24"/>
  <c r="BZ68" i="24"/>
  <c r="CA68" i="24"/>
  <c r="CN68" i="24"/>
  <c r="U90" i="24"/>
  <c r="CM68" i="24"/>
  <c r="X90" i="24"/>
  <c r="P91" i="24"/>
  <c r="CF69" i="24"/>
  <c r="CG69" i="24"/>
  <c r="CO69" i="24"/>
  <c r="R91" i="24"/>
  <c r="BS69" i="24"/>
  <c r="BD69" i="24"/>
  <c r="BV69" i="24"/>
  <c r="BF69" i="24"/>
  <c r="BG69" i="24"/>
  <c r="BH69" i="24"/>
  <c r="BJ69" i="24"/>
  <c r="BL69" i="24"/>
  <c r="BI69" i="24"/>
  <c r="BK69" i="24"/>
  <c r="BT69" i="24"/>
  <c r="BM69" i="24"/>
  <c r="BW69" i="24"/>
  <c r="BO69" i="24"/>
  <c r="BN69" i="24"/>
  <c r="BR69" i="24"/>
  <c r="BU69" i="24"/>
  <c r="BP69" i="24"/>
  <c r="BQ69" i="24"/>
  <c r="BX69" i="24"/>
  <c r="BY69" i="24"/>
  <c r="BZ69" i="24"/>
  <c r="CA69" i="24"/>
  <c r="CN69" i="24"/>
  <c r="U91" i="24"/>
  <c r="CM69" i="24"/>
  <c r="X91" i="24"/>
  <c r="BE161" i="24"/>
  <c r="L92" i="24"/>
  <c r="AG70" i="24"/>
  <c r="AS70" i="24"/>
  <c r="AH70" i="24"/>
  <c r="AT70" i="24"/>
  <c r="AI70" i="24"/>
  <c r="AU70" i="24"/>
  <c r="CP70" i="24"/>
  <c r="P92" i="24"/>
  <c r="AJ70" i="24"/>
  <c r="AV70" i="24"/>
  <c r="CF70" i="24"/>
  <c r="AW70" i="24"/>
  <c r="CG70" i="24"/>
  <c r="CO70" i="24"/>
  <c r="R92" i="24"/>
  <c r="BS70" i="24"/>
  <c r="BD70" i="24"/>
  <c r="BV70" i="24"/>
  <c r="BF70" i="24"/>
  <c r="BG70" i="24"/>
  <c r="BH70" i="24"/>
  <c r="BJ70" i="24"/>
  <c r="BL70" i="24"/>
  <c r="BI70" i="24"/>
  <c r="BK70" i="24"/>
  <c r="BT70" i="24"/>
  <c r="BM70" i="24"/>
  <c r="BW70" i="24"/>
  <c r="BO70" i="24"/>
  <c r="BN70" i="24"/>
  <c r="BR70" i="24"/>
  <c r="BU70" i="24"/>
  <c r="BP70" i="24"/>
  <c r="BQ70" i="24"/>
  <c r="BX70" i="24"/>
  <c r="BY70" i="24"/>
  <c r="BZ70" i="24"/>
  <c r="CA70" i="24"/>
  <c r="CN70" i="24"/>
  <c r="U92" i="24"/>
  <c r="CM70" i="24"/>
  <c r="X92" i="24"/>
  <c r="AT71" i="24"/>
  <c r="AU71" i="24"/>
  <c r="CP71" i="24"/>
  <c r="P93" i="24"/>
  <c r="AJ71" i="24"/>
  <c r="AV71" i="24"/>
  <c r="CF71" i="24"/>
  <c r="AW71" i="24"/>
  <c r="CG71" i="24"/>
  <c r="CO71" i="24"/>
  <c r="R93" i="24"/>
  <c r="BS71" i="24"/>
  <c r="BD71" i="24"/>
  <c r="BV71" i="24"/>
  <c r="BF71" i="24"/>
  <c r="BG71" i="24"/>
  <c r="BH71" i="24"/>
  <c r="BJ71" i="24"/>
  <c r="BL71" i="24"/>
  <c r="BI71" i="24"/>
  <c r="BK71" i="24"/>
  <c r="BT71" i="24"/>
  <c r="BM71" i="24"/>
  <c r="BW71" i="24"/>
  <c r="BO71" i="24"/>
  <c r="BN71" i="24"/>
  <c r="BR71" i="24"/>
  <c r="BU71" i="24"/>
  <c r="BP71" i="24"/>
  <c r="BQ71" i="24"/>
  <c r="BX71" i="24"/>
  <c r="BY71" i="24"/>
  <c r="BZ71" i="24"/>
  <c r="CA71" i="24"/>
  <c r="CN71" i="24"/>
  <c r="U93" i="24"/>
  <c r="CM71" i="24"/>
  <c r="X93" i="24"/>
  <c r="P94" i="24"/>
  <c r="CF72" i="24"/>
  <c r="CG72" i="24"/>
  <c r="CO72" i="24"/>
  <c r="R94" i="24"/>
  <c r="BS72" i="24"/>
  <c r="BD72" i="24"/>
  <c r="BV72" i="24"/>
  <c r="BF72" i="24"/>
  <c r="BG72" i="24"/>
  <c r="BH72" i="24"/>
  <c r="BJ72" i="24"/>
  <c r="BL72" i="24"/>
  <c r="BI72" i="24"/>
  <c r="BK72" i="24"/>
  <c r="BT72" i="24"/>
  <c r="BM72" i="24"/>
  <c r="BW72" i="24"/>
  <c r="BO72" i="24"/>
  <c r="BN72" i="24"/>
  <c r="BR72" i="24"/>
  <c r="BU72" i="24"/>
  <c r="BP72" i="24"/>
  <c r="BQ72" i="24"/>
  <c r="BX72" i="24"/>
  <c r="BY72" i="24"/>
  <c r="BZ72" i="24"/>
  <c r="CA72" i="24"/>
  <c r="CN72" i="24"/>
  <c r="U94" i="24"/>
  <c r="CM72" i="24"/>
  <c r="X94" i="24"/>
  <c r="BE164" i="24"/>
  <c r="L95" i="24"/>
  <c r="AG73" i="24"/>
  <c r="AS73" i="24"/>
  <c r="AH73" i="24"/>
  <c r="AT73" i="24"/>
  <c r="AI73" i="24"/>
  <c r="AU73" i="24"/>
  <c r="CP73" i="24"/>
  <c r="P95" i="24"/>
  <c r="AJ73" i="24"/>
  <c r="AV73" i="24"/>
  <c r="CF73" i="24"/>
  <c r="AW73" i="24"/>
  <c r="CG73" i="24"/>
  <c r="CO73" i="24"/>
  <c r="R95" i="24"/>
  <c r="BS73" i="24"/>
  <c r="BD73" i="24"/>
  <c r="BV73" i="24"/>
  <c r="BF73" i="24"/>
  <c r="BG73" i="24"/>
  <c r="BH73" i="24"/>
  <c r="BJ73" i="24"/>
  <c r="BL73" i="24"/>
  <c r="BI73" i="24"/>
  <c r="BK73" i="24"/>
  <c r="BT73" i="24"/>
  <c r="BM73" i="24"/>
  <c r="BW73" i="24"/>
  <c r="BO73" i="24"/>
  <c r="BN73" i="24"/>
  <c r="BR73" i="24"/>
  <c r="BU73" i="24"/>
  <c r="BP73" i="24"/>
  <c r="BQ73" i="24"/>
  <c r="BX73" i="24"/>
  <c r="BY73" i="24"/>
  <c r="BZ73" i="24"/>
  <c r="CA73" i="24"/>
  <c r="CN73" i="24"/>
  <c r="U95" i="24"/>
  <c r="CM73" i="24"/>
  <c r="X95" i="24"/>
  <c r="AT74" i="24"/>
  <c r="AU74" i="24"/>
  <c r="CP74" i="24"/>
  <c r="P96" i="24"/>
  <c r="AJ74" i="24"/>
  <c r="AV74" i="24"/>
  <c r="CF74" i="24"/>
  <c r="AW74" i="24"/>
  <c r="CG74" i="24"/>
  <c r="CO74" i="24"/>
  <c r="R96" i="24"/>
  <c r="BS74" i="24"/>
  <c r="BD74" i="24"/>
  <c r="BV74" i="24"/>
  <c r="BF74" i="24"/>
  <c r="BG74" i="24"/>
  <c r="BH74" i="24"/>
  <c r="BJ74" i="24"/>
  <c r="BL74" i="24"/>
  <c r="BI74" i="24"/>
  <c r="BK74" i="24"/>
  <c r="BT74" i="24"/>
  <c r="BM74" i="24"/>
  <c r="BW74" i="24"/>
  <c r="BO74" i="24"/>
  <c r="BN74" i="24"/>
  <c r="BR74" i="24"/>
  <c r="BU74" i="24"/>
  <c r="BP74" i="24"/>
  <c r="BQ74" i="24"/>
  <c r="BX74" i="24"/>
  <c r="BY74" i="24"/>
  <c r="BZ74" i="24"/>
  <c r="CA74" i="24"/>
  <c r="CN74" i="24"/>
  <c r="U96" i="24"/>
  <c r="CM74" i="24"/>
  <c r="X96" i="24"/>
  <c r="P97" i="24"/>
  <c r="CF75" i="24"/>
  <c r="CG75" i="24"/>
  <c r="CO75" i="24"/>
  <c r="R97" i="24"/>
  <c r="BS75" i="24"/>
  <c r="BD75" i="24"/>
  <c r="BV75" i="24"/>
  <c r="BF75" i="24"/>
  <c r="BG75" i="24"/>
  <c r="BH75" i="24"/>
  <c r="BJ75" i="24"/>
  <c r="BL75" i="24"/>
  <c r="BI75" i="24"/>
  <c r="BK75" i="24"/>
  <c r="BT75" i="24"/>
  <c r="BM75" i="24"/>
  <c r="BW75" i="24"/>
  <c r="BO75" i="24"/>
  <c r="BN75" i="24"/>
  <c r="BR75" i="24"/>
  <c r="BU75" i="24"/>
  <c r="BP75" i="24"/>
  <c r="BQ75" i="24"/>
  <c r="BX75" i="24"/>
  <c r="BY75" i="24"/>
  <c r="BZ75" i="24"/>
  <c r="CA75" i="24"/>
  <c r="CN75" i="24"/>
  <c r="U97" i="24"/>
  <c r="CM75" i="24"/>
  <c r="X97" i="24"/>
  <c r="BE167" i="24"/>
  <c r="L98" i="24"/>
  <c r="AG76" i="24"/>
  <c r="AS76" i="24"/>
  <c r="AH76" i="24"/>
  <c r="AT76" i="24"/>
  <c r="AI76" i="24"/>
  <c r="AU76" i="24"/>
  <c r="CP76" i="24"/>
  <c r="P98" i="24"/>
  <c r="AJ76" i="24"/>
  <c r="AV76" i="24"/>
  <c r="CF76" i="24"/>
  <c r="AW76" i="24"/>
  <c r="CG76" i="24"/>
  <c r="CO76" i="24"/>
  <c r="R98" i="24"/>
  <c r="BS76" i="24"/>
  <c r="BD76" i="24"/>
  <c r="BV76" i="24"/>
  <c r="BF76" i="24"/>
  <c r="BG76" i="24"/>
  <c r="BH76" i="24"/>
  <c r="BJ76" i="24"/>
  <c r="BL76" i="24"/>
  <c r="BI76" i="24"/>
  <c r="BK76" i="24"/>
  <c r="BT76" i="24"/>
  <c r="BM76" i="24"/>
  <c r="BW76" i="24"/>
  <c r="BO76" i="24"/>
  <c r="BN76" i="24"/>
  <c r="BR76" i="24"/>
  <c r="BU76" i="24"/>
  <c r="BP76" i="24"/>
  <c r="BQ76" i="24"/>
  <c r="BX76" i="24"/>
  <c r="BY76" i="24"/>
  <c r="BZ76" i="24"/>
  <c r="CA76" i="24"/>
  <c r="CN76" i="24"/>
  <c r="U98" i="24"/>
  <c r="CM76" i="24"/>
  <c r="X98" i="24"/>
  <c r="AT77" i="24"/>
  <c r="AU77" i="24"/>
  <c r="CP77" i="24"/>
  <c r="P99" i="24"/>
  <c r="AJ77" i="24"/>
  <c r="AV77" i="24"/>
  <c r="CF77" i="24"/>
  <c r="AW77" i="24"/>
  <c r="CG77" i="24"/>
  <c r="CO77" i="24"/>
  <c r="R99" i="24"/>
  <c r="BS77" i="24"/>
  <c r="BD77" i="24"/>
  <c r="BV77" i="24"/>
  <c r="BF77" i="24"/>
  <c r="BG77" i="24"/>
  <c r="BH77" i="24"/>
  <c r="BJ77" i="24"/>
  <c r="BL77" i="24"/>
  <c r="BI77" i="24"/>
  <c r="BK77" i="24"/>
  <c r="BT77" i="24"/>
  <c r="BM77" i="24"/>
  <c r="BW77" i="24"/>
  <c r="BO77" i="24"/>
  <c r="BN77" i="24"/>
  <c r="BR77" i="24"/>
  <c r="BU77" i="24"/>
  <c r="BP77" i="24"/>
  <c r="BQ77" i="24"/>
  <c r="BX77" i="24"/>
  <c r="BY77" i="24"/>
  <c r="BZ77" i="24"/>
  <c r="CA77" i="24"/>
  <c r="CN77" i="24"/>
  <c r="U99" i="24"/>
  <c r="CM77" i="24"/>
  <c r="X99" i="24"/>
  <c r="CP78" i="24"/>
  <c r="P100" i="24"/>
  <c r="CF78" i="24"/>
  <c r="CG78" i="24"/>
  <c r="CO78" i="24"/>
  <c r="R100" i="24"/>
  <c r="BS78" i="24"/>
  <c r="BD78" i="24"/>
  <c r="BV78" i="24"/>
  <c r="BF78" i="24"/>
  <c r="BG78" i="24"/>
  <c r="BH78" i="24"/>
  <c r="BJ78" i="24"/>
  <c r="BL78" i="24"/>
  <c r="BI78" i="24"/>
  <c r="BK78" i="24"/>
  <c r="BT78" i="24"/>
  <c r="BM78" i="24"/>
  <c r="BW78" i="24"/>
  <c r="BO78" i="24"/>
  <c r="BN78" i="24"/>
  <c r="BR78" i="24"/>
  <c r="BU78" i="24"/>
  <c r="BP78" i="24"/>
  <c r="BQ78" i="24"/>
  <c r="BX78" i="24"/>
  <c r="BY78" i="24"/>
  <c r="BZ78" i="24"/>
  <c r="CA78" i="24"/>
  <c r="CN78" i="24"/>
  <c r="U100" i="24"/>
  <c r="CM78" i="24"/>
  <c r="X100" i="24"/>
  <c r="BE170" i="24"/>
  <c r="L101" i="24"/>
  <c r="AG79" i="24"/>
  <c r="AS79" i="24"/>
  <c r="AH79" i="24"/>
  <c r="AT79" i="24"/>
  <c r="AI79" i="24"/>
  <c r="AU79" i="24"/>
  <c r="CP79" i="24"/>
  <c r="P101" i="24"/>
  <c r="AJ79" i="24"/>
  <c r="AV79" i="24"/>
  <c r="CF79" i="24"/>
  <c r="AW79" i="24"/>
  <c r="CG79" i="24"/>
  <c r="CO79" i="24"/>
  <c r="R101" i="24"/>
  <c r="BS79" i="24"/>
  <c r="BD79" i="24"/>
  <c r="BV79" i="24"/>
  <c r="BF79" i="24"/>
  <c r="BG79" i="24"/>
  <c r="BH79" i="24"/>
  <c r="BJ79" i="24"/>
  <c r="BL79" i="24"/>
  <c r="BI79" i="24"/>
  <c r="BK79" i="24"/>
  <c r="BT79" i="24"/>
  <c r="BM79" i="24"/>
  <c r="BW79" i="24"/>
  <c r="BO79" i="24"/>
  <c r="BN79" i="24"/>
  <c r="BR79" i="24"/>
  <c r="BU79" i="24"/>
  <c r="BP79" i="24"/>
  <c r="BQ79" i="24"/>
  <c r="BX79" i="24"/>
  <c r="BY79" i="24"/>
  <c r="BZ79" i="24"/>
  <c r="CA79" i="24"/>
  <c r="CN79" i="24"/>
  <c r="U101" i="24"/>
  <c r="CM79" i="24"/>
  <c r="X101" i="24"/>
  <c r="P102" i="24"/>
  <c r="AJ80" i="24"/>
  <c r="AV80" i="24"/>
  <c r="CF80" i="24"/>
  <c r="AW80" i="24"/>
  <c r="CG80" i="24"/>
  <c r="CO80" i="24"/>
  <c r="R102" i="24"/>
  <c r="BS80" i="24"/>
  <c r="BD80" i="24"/>
  <c r="BV80" i="24"/>
  <c r="BF80" i="24"/>
  <c r="BG80" i="24"/>
  <c r="BH80" i="24"/>
  <c r="BJ80" i="24"/>
  <c r="BL80" i="24"/>
  <c r="BI80" i="24"/>
  <c r="BK80" i="24"/>
  <c r="BT80" i="24"/>
  <c r="BM80" i="24"/>
  <c r="BW80" i="24"/>
  <c r="BO80" i="24"/>
  <c r="BN80" i="24"/>
  <c r="BR80" i="24"/>
  <c r="BU80" i="24"/>
  <c r="BP80" i="24"/>
  <c r="BQ80" i="24"/>
  <c r="BX80" i="24"/>
  <c r="BY80" i="24"/>
  <c r="BZ80" i="24"/>
  <c r="CA80" i="24"/>
  <c r="CN80" i="24"/>
  <c r="U102" i="24"/>
  <c r="CM80" i="24"/>
  <c r="X102" i="24"/>
  <c r="BE172" i="24"/>
  <c r="L103" i="24"/>
  <c r="AG81" i="24"/>
  <c r="AS81" i="24"/>
  <c r="AT81" i="24"/>
  <c r="AU81" i="24"/>
  <c r="CP81" i="24"/>
  <c r="P103" i="24"/>
  <c r="AJ81" i="24"/>
  <c r="AV81" i="24"/>
  <c r="CF81" i="24"/>
  <c r="AW81" i="24"/>
  <c r="CG81" i="24"/>
  <c r="CO81" i="24"/>
  <c r="R103" i="24"/>
  <c r="BS81" i="24"/>
  <c r="BD81" i="24"/>
  <c r="BV81" i="24"/>
  <c r="BF81" i="24"/>
  <c r="BG81" i="24"/>
  <c r="BH81" i="24"/>
  <c r="BJ81" i="24"/>
  <c r="BL81" i="24"/>
  <c r="BI81" i="24"/>
  <c r="BK81" i="24"/>
  <c r="BT81" i="24"/>
  <c r="BM81" i="24"/>
  <c r="BW81" i="24"/>
  <c r="BO81" i="24"/>
  <c r="BN81" i="24"/>
  <c r="BR81" i="24"/>
  <c r="BU81" i="24"/>
  <c r="BP81" i="24"/>
  <c r="BQ81" i="24"/>
  <c r="BX81" i="24"/>
  <c r="BY81" i="24"/>
  <c r="BZ81" i="24"/>
  <c r="CA81" i="24"/>
  <c r="CN81" i="24"/>
  <c r="U103" i="24"/>
  <c r="CM81" i="24"/>
  <c r="X103" i="24"/>
  <c r="AV173" i="24"/>
  <c r="BB173" i="24"/>
  <c r="AY173" i="24"/>
  <c r="BE173" i="24"/>
  <c r="L104" i="24"/>
  <c r="AG82" i="24"/>
  <c r="AS82" i="24"/>
  <c r="AU173" i="24"/>
  <c r="BA173" i="24"/>
  <c r="AX173" i="24"/>
  <c r="BF173" i="24"/>
  <c r="M104" i="24"/>
  <c r="AH82" i="24"/>
  <c r="AT82" i="24"/>
  <c r="BG173" i="24"/>
  <c r="N104" i="24"/>
  <c r="AI82" i="24"/>
  <c r="AU82" i="24"/>
  <c r="CP82" i="24"/>
  <c r="P104" i="24"/>
  <c r="AJ82" i="24"/>
  <c r="AV82" i="24"/>
  <c r="CF82" i="24"/>
  <c r="AW82" i="24"/>
  <c r="CG82" i="24"/>
  <c r="CO82" i="24"/>
  <c r="R104" i="24"/>
  <c r="BS82" i="24"/>
  <c r="BD82" i="24"/>
  <c r="BV82" i="24"/>
  <c r="BF82" i="24"/>
  <c r="BG82" i="24"/>
  <c r="BH82" i="24"/>
  <c r="BJ82" i="24"/>
  <c r="BL82" i="24"/>
  <c r="BI82" i="24"/>
  <c r="BK82" i="24"/>
  <c r="BT82" i="24"/>
  <c r="BM82" i="24"/>
  <c r="BW82" i="24"/>
  <c r="BO82" i="24"/>
  <c r="BN82" i="24"/>
  <c r="BR82" i="24"/>
  <c r="BU82" i="24"/>
  <c r="BP82" i="24"/>
  <c r="BQ82" i="24"/>
  <c r="BX82" i="24"/>
  <c r="BY82" i="24"/>
  <c r="BZ82" i="24"/>
  <c r="CA82" i="24"/>
  <c r="CN82" i="24"/>
  <c r="U104" i="24"/>
  <c r="CM82" i="24"/>
  <c r="X104" i="24"/>
  <c r="AV174" i="24"/>
  <c r="BB174" i="24"/>
  <c r="AY174" i="24"/>
  <c r="BE174" i="24"/>
  <c r="L105" i="24"/>
  <c r="AG83" i="24"/>
  <c r="AS83" i="24"/>
  <c r="AU174" i="24"/>
  <c r="BA174" i="24"/>
  <c r="AX174" i="24"/>
  <c r="BF174" i="24"/>
  <c r="M105" i="24"/>
  <c r="AH83" i="24"/>
  <c r="AT83" i="24"/>
  <c r="BG174" i="24"/>
  <c r="N105" i="24"/>
  <c r="AI83" i="24"/>
  <c r="AU83" i="24"/>
  <c r="CP83" i="24"/>
  <c r="P105" i="24"/>
  <c r="AJ83" i="24"/>
  <c r="AV83" i="24"/>
  <c r="CF83" i="24"/>
  <c r="AW83" i="24"/>
  <c r="CG83" i="24"/>
  <c r="CO83" i="24"/>
  <c r="R105" i="24"/>
  <c r="BS83" i="24"/>
  <c r="BD83" i="24"/>
  <c r="BV83" i="24"/>
  <c r="BF83" i="24"/>
  <c r="BG83" i="24"/>
  <c r="BH83" i="24"/>
  <c r="BJ83" i="24"/>
  <c r="BL83" i="24"/>
  <c r="BI83" i="24"/>
  <c r="BK83" i="24"/>
  <c r="BT83" i="24"/>
  <c r="BM83" i="24"/>
  <c r="BW83" i="24"/>
  <c r="BO83" i="24"/>
  <c r="BN83" i="24"/>
  <c r="BR83" i="24"/>
  <c r="BU83" i="24"/>
  <c r="BP83" i="24"/>
  <c r="BQ83" i="24"/>
  <c r="BX83" i="24"/>
  <c r="BY83" i="24"/>
  <c r="BZ83" i="24"/>
  <c r="CA83" i="24"/>
  <c r="CN83" i="24"/>
  <c r="U105" i="24"/>
  <c r="CM83" i="24"/>
  <c r="X105" i="24"/>
  <c r="AV175" i="24"/>
  <c r="BB175" i="24"/>
  <c r="AY175" i="24"/>
  <c r="BE175" i="24"/>
  <c r="L106" i="24"/>
  <c r="AG84" i="24"/>
  <c r="AS84" i="24"/>
  <c r="AU175" i="24"/>
  <c r="BA175" i="24"/>
  <c r="AX175" i="24"/>
  <c r="BF175" i="24"/>
  <c r="M106" i="24"/>
  <c r="AH84" i="24"/>
  <c r="AT84" i="24"/>
  <c r="BG175" i="24"/>
  <c r="N106" i="24"/>
  <c r="AI84" i="24"/>
  <c r="AU84" i="24"/>
  <c r="CP84" i="24"/>
  <c r="P106" i="24"/>
  <c r="AJ84" i="24"/>
  <c r="AV84" i="24"/>
  <c r="CF84" i="24"/>
  <c r="AW84" i="24"/>
  <c r="CG84" i="24"/>
  <c r="CO84" i="24"/>
  <c r="R106" i="24"/>
  <c r="BS84" i="24"/>
  <c r="BD84" i="24"/>
  <c r="BV84" i="24"/>
  <c r="BF84" i="24"/>
  <c r="BG84" i="24"/>
  <c r="BH84" i="24"/>
  <c r="BJ84" i="24"/>
  <c r="BL84" i="24"/>
  <c r="BI84" i="24"/>
  <c r="BK84" i="24"/>
  <c r="BT84" i="24"/>
  <c r="BM84" i="24"/>
  <c r="BW84" i="24"/>
  <c r="BO84" i="24"/>
  <c r="BN84" i="24"/>
  <c r="BR84" i="24"/>
  <c r="BU84" i="24"/>
  <c r="BP84" i="24"/>
  <c r="BQ84" i="24"/>
  <c r="BX84" i="24"/>
  <c r="BY84" i="24"/>
  <c r="BZ84" i="24"/>
  <c r="CA84" i="24"/>
  <c r="CN84" i="24"/>
  <c r="U106" i="24"/>
  <c r="CM84" i="24"/>
  <c r="X106" i="24"/>
  <c r="AV176" i="24"/>
  <c r="BB176" i="24"/>
  <c r="AY176" i="24"/>
  <c r="BE176" i="24"/>
  <c r="L107" i="24"/>
  <c r="AG85" i="24"/>
  <c r="AS85" i="24"/>
  <c r="AU176" i="24"/>
  <c r="BA176" i="24"/>
  <c r="AX176" i="24"/>
  <c r="BF176" i="24"/>
  <c r="M107" i="24"/>
  <c r="AH85" i="24"/>
  <c r="AT85" i="24"/>
  <c r="BG176" i="24"/>
  <c r="N107" i="24"/>
  <c r="AI85" i="24"/>
  <c r="AU85" i="24"/>
  <c r="CP85" i="24"/>
  <c r="P107" i="24"/>
  <c r="AJ85" i="24"/>
  <c r="AV85" i="24"/>
  <c r="CF85" i="24"/>
  <c r="AW85" i="24"/>
  <c r="CG85" i="24"/>
  <c r="CO85" i="24"/>
  <c r="R107" i="24"/>
  <c r="BS85" i="24"/>
  <c r="BD85" i="24"/>
  <c r="BV85" i="24"/>
  <c r="BF85" i="24"/>
  <c r="BG85" i="24"/>
  <c r="BH85" i="24"/>
  <c r="BJ85" i="24"/>
  <c r="BL85" i="24"/>
  <c r="BI85" i="24"/>
  <c r="BK85" i="24"/>
  <c r="BT85" i="24"/>
  <c r="BM85" i="24"/>
  <c r="BW85" i="24"/>
  <c r="BO85" i="24"/>
  <c r="BN85" i="24"/>
  <c r="BR85" i="24"/>
  <c r="BU85" i="24"/>
  <c r="BP85" i="24"/>
  <c r="BQ85" i="24"/>
  <c r="BX85" i="24"/>
  <c r="BY85" i="24"/>
  <c r="BZ85" i="24"/>
  <c r="CA85" i="24"/>
  <c r="CN85" i="24"/>
  <c r="U107" i="24"/>
  <c r="CM85" i="24"/>
  <c r="X107" i="24"/>
  <c r="AV177" i="24"/>
  <c r="BB177" i="24"/>
  <c r="AY177" i="24"/>
  <c r="BE177" i="24"/>
  <c r="L108" i="24"/>
  <c r="AG86" i="24"/>
  <c r="AS86" i="24"/>
  <c r="AU177" i="24"/>
  <c r="BA177" i="24"/>
  <c r="AX177" i="24"/>
  <c r="BF177" i="24"/>
  <c r="M108" i="24"/>
  <c r="AH86" i="24"/>
  <c r="AT86" i="24"/>
  <c r="BG177" i="24"/>
  <c r="N108" i="24"/>
  <c r="AI86" i="24"/>
  <c r="AU86" i="24"/>
  <c r="CP86" i="24"/>
  <c r="P108" i="24"/>
  <c r="AJ86" i="24"/>
  <c r="AV86" i="24"/>
  <c r="CF86" i="24"/>
  <c r="AW86" i="24"/>
  <c r="CG86" i="24"/>
  <c r="CO86" i="24"/>
  <c r="R108" i="24"/>
  <c r="BS86" i="24"/>
  <c r="BD86" i="24"/>
  <c r="BV86" i="24"/>
  <c r="BF86" i="24"/>
  <c r="BG86" i="24"/>
  <c r="BH86" i="24"/>
  <c r="BJ86" i="24"/>
  <c r="BL86" i="24"/>
  <c r="BI86" i="24"/>
  <c r="BK86" i="24"/>
  <c r="BT86" i="24"/>
  <c r="BM86" i="24"/>
  <c r="BW86" i="24"/>
  <c r="BO86" i="24"/>
  <c r="BN86" i="24"/>
  <c r="BR86" i="24"/>
  <c r="BU86" i="24"/>
  <c r="BP86" i="24"/>
  <c r="BQ86" i="24"/>
  <c r="BX86" i="24"/>
  <c r="BY86" i="24"/>
  <c r="BZ86" i="24"/>
  <c r="CA86" i="24"/>
  <c r="CN86" i="24"/>
  <c r="U108" i="24"/>
  <c r="CM86" i="24"/>
  <c r="X108" i="24"/>
  <c r="AV178" i="24"/>
  <c r="BB178" i="24"/>
  <c r="AY178" i="24"/>
  <c r="BE178" i="24"/>
  <c r="L109" i="24"/>
  <c r="AG87" i="24"/>
  <c r="AS87" i="24"/>
  <c r="AU178" i="24"/>
  <c r="BA178" i="24"/>
  <c r="AX178" i="24"/>
  <c r="BF178" i="24"/>
  <c r="M109" i="24"/>
  <c r="AH87" i="24"/>
  <c r="AT87" i="24"/>
  <c r="BG178" i="24"/>
  <c r="N109" i="24"/>
  <c r="AI87" i="24"/>
  <c r="AU87" i="24"/>
  <c r="CP87" i="24"/>
  <c r="P109" i="24"/>
  <c r="AJ87" i="24"/>
  <c r="AV87" i="24"/>
  <c r="CF87" i="24"/>
  <c r="AW87" i="24"/>
  <c r="CG87" i="24"/>
  <c r="CO87" i="24"/>
  <c r="R109" i="24"/>
  <c r="BS87" i="24"/>
  <c r="BD87" i="24"/>
  <c r="BV87" i="24"/>
  <c r="BF87" i="24"/>
  <c r="BG87" i="24"/>
  <c r="BH87" i="24"/>
  <c r="BJ87" i="24"/>
  <c r="BL87" i="24"/>
  <c r="BI87" i="24"/>
  <c r="BK87" i="24"/>
  <c r="BT87" i="24"/>
  <c r="BM87" i="24"/>
  <c r="BW87" i="24"/>
  <c r="BO87" i="24"/>
  <c r="BN87" i="24"/>
  <c r="BR87" i="24"/>
  <c r="BU87" i="24"/>
  <c r="BP87" i="24"/>
  <c r="BQ87" i="24"/>
  <c r="BX87" i="24"/>
  <c r="BY87" i="24"/>
  <c r="BZ87" i="24"/>
  <c r="CA87" i="24"/>
  <c r="CN87" i="24"/>
  <c r="U109" i="24"/>
  <c r="CM87" i="24"/>
  <c r="X109" i="24"/>
  <c r="AV179" i="24"/>
  <c r="BB179" i="24"/>
  <c r="AY179" i="24"/>
  <c r="BE179" i="24"/>
  <c r="L110" i="24"/>
  <c r="AG88" i="24"/>
  <c r="AS88" i="24"/>
  <c r="AU179" i="24"/>
  <c r="BA179" i="24"/>
  <c r="AX179" i="24"/>
  <c r="BF179" i="24"/>
  <c r="M110" i="24"/>
  <c r="AH88" i="24"/>
  <c r="AT88" i="24"/>
  <c r="BG179" i="24"/>
  <c r="N110" i="24"/>
  <c r="AI88" i="24"/>
  <c r="AU88" i="24"/>
  <c r="CP88" i="24"/>
  <c r="P110" i="24"/>
  <c r="AJ88" i="24"/>
  <c r="AV88" i="24"/>
  <c r="CF88" i="24"/>
  <c r="AW88" i="24"/>
  <c r="CG88" i="24"/>
  <c r="CO88" i="24"/>
  <c r="R110" i="24"/>
  <c r="BS88" i="24"/>
  <c r="BD88" i="24"/>
  <c r="BV88" i="24"/>
  <c r="BF88" i="24"/>
  <c r="BG88" i="24"/>
  <c r="BH88" i="24"/>
  <c r="BJ88" i="24"/>
  <c r="BL88" i="24"/>
  <c r="BI88" i="24"/>
  <c r="BK88" i="24"/>
  <c r="BT88" i="24"/>
  <c r="BM88" i="24"/>
  <c r="BW88" i="24"/>
  <c r="BO88" i="24"/>
  <c r="BN88" i="24"/>
  <c r="BR88" i="24"/>
  <c r="BU88" i="24"/>
  <c r="BP88" i="24"/>
  <c r="BQ88" i="24"/>
  <c r="BX88" i="24"/>
  <c r="BY88" i="24"/>
  <c r="BZ88" i="24"/>
  <c r="CA88" i="24"/>
  <c r="CN88" i="24"/>
  <c r="U110" i="24"/>
  <c r="CM88" i="24"/>
  <c r="X110" i="24"/>
  <c r="AV180" i="24"/>
  <c r="BB180" i="24"/>
  <c r="AY180" i="24"/>
  <c r="BE180" i="24"/>
  <c r="L111" i="24"/>
  <c r="AG89" i="24"/>
  <c r="AS89" i="24"/>
  <c r="AU180" i="24"/>
  <c r="BA180" i="24"/>
  <c r="AX180" i="24"/>
  <c r="BF180" i="24"/>
  <c r="M111" i="24"/>
  <c r="AH89" i="24"/>
  <c r="AT89" i="24"/>
  <c r="BG180" i="24"/>
  <c r="N111" i="24"/>
  <c r="AI89" i="24"/>
  <c r="AU89" i="24"/>
  <c r="CP89" i="24"/>
  <c r="P111" i="24"/>
  <c r="AJ89" i="24"/>
  <c r="AV89" i="24"/>
  <c r="CF89" i="24"/>
  <c r="AW89" i="24"/>
  <c r="CG89" i="24"/>
  <c r="CO89" i="24"/>
  <c r="R111" i="24"/>
  <c r="BS89" i="24"/>
  <c r="BD89" i="24"/>
  <c r="BV89" i="24"/>
  <c r="BF89" i="24"/>
  <c r="BG89" i="24"/>
  <c r="BH89" i="24"/>
  <c r="BJ89" i="24"/>
  <c r="BL89" i="24"/>
  <c r="BI89" i="24"/>
  <c r="BK89" i="24"/>
  <c r="BT89" i="24"/>
  <c r="BM89" i="24"/>
  <c r="BW89" i="24"/>
  <c r="BO89" i="24"/>
  <c r="BN89" i="24"/>
  <c r="BR89" i="24"/>
  <c r="BU89" i="24"/>
  <c r="BP89" i="24"/>
  <c r="BQ89" i="24"/>
  <c r="BX89" i="24"/>
  <c r="BY89" i="24"/>
  <c r="BZ89" i="24"/>
  <c r="CA89" i="24"/>
  <c r="CN89" i="24"/>
  <c r="U111" i="24"/>
  <c r="CM89" i="24"/>
  <c r="X111" i="24"/>
  <c r="AV181" i="24"/>
  <c r="BB181" i="24"/>
  <c r="AY181" i="24"/>
  <c r="BE181" i="24"/>
  <c r="L112" i="24"/>
  <c r="AG90" i="24"/>
  <c r="AS90" i="24"/>
  <c r="AU181" i="24"/>
  <c r="BA181" i="24"/>
  <c r="AX181" i="24"/>
  <c r="BF181" i="24"/>
  <c r="M112" i="24"/>
  <c r="AH90" i="24"/>
  <c r="AT90" i="24"/>
  <c r="BG181" i="24"/>
  <c r="N112" i="24"/>
  <c r="AI90" i="24"/>
  <c r="AU90" i="24"/>
  <c r="CP90" i="24"/>
  <c r="P112" i="24"/>
  <c r="AJ90" i="24"/>
  <c r="AV90" i="24"/>
  <c r="CF90" i="24"/>
  <c r="AW90" i="24"/>
  <c r="CG90" i="24"/>
  <c r="CO90" i="24"/>
  <c r="R112" i="24"/>
  <c r="BS90" i="24"/>
  <c r="BD90" i="24"/>
  <c r="BV90" i="24"/>
  <c r="BF90" i="24"/>
  <c r="BG90" i="24"/>
  <c r="BH90" i="24"/>
  <c r="BJ90" i="24"/>
  <c r="BL90" i="24"/>
  <c r="BI90" i="24"/>
  <c r="BK90" i="24"/>
  <c r="BT90" i="24"/>
  <c r="BM90" i="24"/>
  <c r="BW90" i="24"/>
  <c r="BO90" i="24"/>
  <c r="BN90" i="24"/>
  <c r="BR90" i="24"/>
  <c r="BU90" i="24"/>
  <c r="BP90" i="24"/>
  <c r="BQ90" i="24"/>
  <c r="BX90" i="24"/>
  <c r="BY90" i="24"/>
  <c r="BZ90" i="24"/>
  <c r="CA90" i="24"/>
  <c r="CN90" i="24"/>
  <c r="U112" i="24"/>
  <c r="CM90" i="24"/>
  <c r="X112" i="24"/>
  <c r="AV182" i="24"/>
  <c r="BB182" i="24"/>
  <c r="AY182" i="24"/>
  <c r="BE182" i="24"/>
  <c r="L113" i="24"/>
  <c r="AG91" i="24"/>
  <c r="AS91" i="24"/>
  <c r="AU182" i="24"/>
  <c r="BA182" i="24"/>
  <c r="AX182" i="24"/>
  <c r="BF182" i="24"/>
  <c r="M113" i="24"/>
  <c r="AH91" i="24"/>
  <c r="AT91" i="24"/>
  <c r="BG182" i="24"/>
  <c r="N113" i="24"/>
  <c r="AI91" i="24"/>
  <c r="AU91" i="24"/>
  <c r="CP91" i="24"/>
  <c r="P113" i="24"/>
  <c r="AJ91" i="24"/>
  <c r="AV91" i="24"/>
  <c r="CF91" i="24"/>
  <c r="AW91" i="24"/>
  <c r="CG91" i="24"/>
  <c r="CO91" i="24"/>
  <c r="R113" i="24"/>
  <c r="BS91" i="24"/>
  <c r="BD91" i="24"/>
  <c r="BV91" i="24"/>
  <c r="BF91" i="24"/>
  <c r="BG91" i="24"/>
  <c r="BH91" i="24"/>
  <c r="BJ91" i="24"/>
  <c r="BL91" i="24"/>
  <c r="BI91" i="24"/>
  <c r="BK91" i="24"/>
  <c r="BT91" i="24"/>
  <c r="BM91" i="24"/>
  <c r="BW91" i="24"/>
  <c r="BO91" i="24"/>
  <c r="BN91" i="24"/>
  <c r="BR91" i="24"/>
  <c r="BU91" i="24"/>
  <c r="BP91" i="24"/>
  <c r="BQ91" i="24"/>
  <c r="BX91" i="24"/>
  <c r="BY91" i="24"/>
  <c r="BZ91" i="24"/>
  <c r="CA91" i="24"/>
  <c r="CN91" i="24"/>
  <c r="U113" i="24"/>
  <c r="CM91" i="24"/>
  <c r="X113" i="24"/>
  <c r="AV183" i="24"/>
  <c r="BB183" i="24"/>
  <c r="AY183" i="24"/>
  <c r="BE183" i="24"/>
  <c r="L114" i="24"/>
  <c r="AG92" i="24"/>
  <c r="AS92" i="24"/>
  <c r="AU183" i="24"/>
  <c r="BA183" i="24"/>
  <c r="AX183" i="24"/>
  <c r="BF183" i="24"/>
  <c r="M114" i="24"/>
  <c r="AH92" i="24"/>
  <c r="AT92" i="24"/>
  <c r="BG183" i="24"/>
  <c r="N114" i="24"/>
  <c r="AI92" i="24"/>
  <c r="AU92" i="24"/>
  <c r="CP92" i="24"/>
  <c r="P114" i="24"/>
  <c r="AJ92" i="24"/>
  <c r="AV92" i="24"/>
  <c r="CF92" i="24"/>
  <c r="AW92" i="24"/>
  <c r="CG92" i="24"/>
  <c r="CO92" i="24"/>
  <c r="R114" i="24"/>
  <c r="BS92" i="24"/>
  <c r="BD92" i="24"/>
  <c r="BV92" i="24"/>
  <c r="BF92" i="24"/>
  <c r="BG92" i="24"/>
  <c r="BH92" i="24"/>
  <c r="BJ92" i="24"/>
  <c r="BL92" i="24"/>
  <c r="BI92" i="24"/>
  <c r="BK92" i="24"/>
  <c r="BT92" i="24"/>
  <c r="BM92" i="24"/>
  <c r="BW92" i="24"/>
  <c r="BO92" i="24"/>
  <c r="BN92" i="24"/>
  <c r="BR92" i="24"/>
  <c r="BU92" i="24"/>
  <c r="BP92" i="24"/>
  <c r="BQ92" i="24"/>
  <c r="BX92" i="24"/>
  <c r="BY92" i="24"/>
  <c r="BZ92" i="24"/>
  <c r="CA92" i="24"/>
  <c r="CN92" i="24"/>
  <c r="U114" i="24"/>
  <c r="CM92" i="24"/>
  <c r="X114" i="24"/>
  <c r="AV184" i="24"/>
  <c r="BB184" i="24"/>
  <c r="AY184" i="24"/>
  <c r="BE184" i="24"/>
  <c r="L115" i="24"/>
  <c r="AG93" i="24"/>
  <c r="AS93" i="24"/>
  <c r="AU184" i="24"/>
  <c r="BA184" i="24"/>
  <c r="AX184" i="24"/>
  <c r="BF184" i="24"/>
  <c r="M115" i="24"/>
  <c r="AH93" i="24"/>
  <c r="AT93" i="24"/>
  <c r="BG184" i="24"/>
  <c r="N115" i="24"/>
  <c r="AI93" i="24"/>
  <c r="AU93" i="24"/>
  <c r="CP93" i="24"/>
  <c r="P115" i="24"/>
  <c r="AJ93" i="24"/>
  <c r="AV93" i="24"/>
  <c r="CF93" i="24"/>
  <c r="AW93" i="24"/>
  <c r="CG93" i="24"/>
  <c r="CO93" i="24"/>
  <c r="R115" i="24"/>
  <c r="BS93" i="24"/>
  <c r="BD93" i="24"/>
  <c r="BV93" i="24"/>
  <c r="BF93" i="24"/>
  <c r="BG93" i="24"/>
  <c r="BH93" i="24"/>
  <c r="BJ93" i="24"/>
  <c r="BL93" i="24"/>
  <c r="BI93" i="24"/>
  <c r="BK93" i="24"/>
  <c r="BT93" i="24"/>
  <c r="BM93" i="24"/>
  <c r="BW93" i="24"/>
  <c r="BO93" i="24"/>
  <c r="BN93" i="24"/>
  <c r="BR93" i="24"/>
  <c r="BU93" i="24"/>
  <c r="BP93" i="24"/>
  <c r="BQ93" i="24"/>
  <c r="BX93" i="24"/>
  <c r="BY93" i="24"/>
  <c r="BZ93" i="24"/>
  <c r="CA93" i="24"/>
  <c r="CN93" i="24"/>
  <c r="U115" i="24"/>
  <c r="CM93" i="24"/>
  <c r="X115" i="24"/>
  <c r="AV185" i="24"/>
  <c r="BB185" i="24"/>
  <c r="AY185" i="24"/>
  <c r="BE185" i="24"/>
  <c r="L116" i="24"/>
  <c r="AG94" i="24"/>
  <c r="AS94" i="24"/>
  <c r="AU185" i="24"/>
  <c r="BA185" i="24"/>
  <c r="AX185" i="24"/>
  <c r="BF185" i="24"/>
  <c r="M116" i="24"/>
  <c r="AH94" i="24"/>
  <c r="AT94" i="24"/>
  <c r="BG185" i="24"/>
  <c r="N116" i="24"/>
  <c r="AI94" i="24"/>
  <c r="AU94" i="24"/>
  <c r="CP94" i="24"/>
  <c r="P116" i="24"/>
  <c r="AJ94" i="24"/>
  <c r="AV94" i="24"/>
  <c r="CF94" i="24"/>
  <c r="AW94" i="24"/>
  <c r="CG94" i="24"/>
  <c r="CO94" i="24"/>
  <c r="R116" i="24"/>
  <c r="BS94" i="24"/>
  <c r="BD94" i="24"/>
  <c r="BV94" i="24"/>
  <c r="BF94" i="24"/>
  <c r="BG94" i="24"/>
  <c r="BH94" i="24"/>
  <c r="BJ94" i="24"/>
  <c r="BL94" i="24"/>
  <c r="BI94" i="24"/>
  <c r="BK94" i="24"/>
  <c r="BT94" i="24"/>
  <c r="BM94" i="24"/>
  <c r="BW94" i="24"/>
  <c r="BO94" i="24"/>
  <c r="BN94" i="24"/>
  <c r="BR94" i="24"/>
  <c r="BU94" i="24"/>
  <c r="BP94" i="24"/>
  <c r="BQ94" i="24"/>
  <c r="BX94" i="24"/>
  <c r="BY94" i="24"/>
  <c r="BZ94" i="24"/>
  <c r="CA94" i="24"/>
  <c r="CN94" i="24"/>
  <c r="U116" i="24"/>
  <c r="CM94" i="24"/>
  <c r="X116" i="24"/>
  <c r="AV186" i="24"/>
  <c r="BB186" i="24"/>
  <c r="AY186" i="24"/>
  <c r="BE186" i="24"/>
  <c r="L117" i="24"/>
  <c r="AG95" i="24"/>
  <c r="AS95" i="24"/>
  <c r="AU186" i="24"/>
  <c r="BA186" i="24"/>
  <c r="AX186" i="24"/>
  <c r="BF186" i="24"/>
  <c r="M117" i="24"/>
  <c r="AH95" i="24"/>
  <c r="AT95" i="24"/>
  <c r="BG186" i="24"/>
  <c r="N117" i="24"/>
  <c r="AI95" i="24"/>
  <c r="AU95" i="24"/>
  <c r="CP95" i="24"/>
  <c r="P117" i="24"/>
  <c r="AJ95" i="24"/>
  <c r="AV95" i="24"/>
  <c r="CF95" i="24"/>
  <c r="AW95" i="24"/>
  <c r="CG95" i="24"/>
  <c r="CO95" i="24"/>
  <c r="R117" i="24"/>
  <c r="BS95" i="24"/>
  <c r="BD95" i="24"/>
  <c r="BV95" i="24"/>
  <c r="BF95" i="24"/>
  <c r="BG95" i="24"/>
  <c r="BH95" i="24"/>
  <c r="BJ95" i="24"/>
  <c r="BL95" i="24"/>
  <c r="BI95" i="24"/>
  <c r="BK95" i="24"/>
  <c r="BT95" i="24"/>
  <c r="BM95" i="24"/>
  <c r="BW95" i="24"/>
  <c r="BO95" i="24"/>
  <c r="BN95" i="24"/>
  <c r="BR95" i="24"/>
  <c r="BU95" i="24"/>
  <c r="BP95" i="24"/>
  <c r="BQ95" i="24"/>
  <c r="BX95" i="24"/>
  <c r="BY95" i="24"/>
  <c r="BZ95" i="24"/>
  <c r="CA95" i="24"/>
  <c r="CN95" i="24"/>
  <c r="U117" i="24"/>
  <c r="CM95" i="24"/>
  <c r="X117" i="24"/>
  <c r="AV187" i="24"/>
  <c r="BB187" i="24"/>
  <c r="AY187" i="24"/>
  <c r="BE187" i="24"/>
  <c r="L118" i="24"/>
  <c r="AG96" i="24"/>
  <c r="AS96" i="24"/>
  <c r="AU187" i="24"/>
  <c r="BA187" i="24"/>
  <c r="AX187" i="24"/>
  <c r="BF187" i="24"/>
  <c r="M118" i="24"/>
  <c r="AH96" i="24"/>
  <c r="AT96" i="24"/>
  <c r="BG187" i="24"/>
  <c r="N118" i="24"/>
  <c r="AI96" i="24"/>
  <c r="AU96" i="24"/>
  <c r="CP96" i="24"/>
  <c r="P118" i="24"/>
  <c r="AJ96" i="24"/>
  <c r="AV96" i="24"/>
  <c r="CF96" i="24"/>
  <c r="AW96" i="24"/>
  <c r="CG96" i="24"/>
  <c r="CO96" i="24"/>
  <c r="R118" i="24"/>
  <c r="BS96" i="24"/>
  <c r="BD96" i="24"/>
  <c r="BV96" i="24"/>
  <c r="BF96" i="24"/>
  <c r="BG96" i="24"/>
  <c r="BH96" i="24"/>
  <c r="BJ96" i="24"/>
  <c r="BL96" i="24"/>
  <c r="BI96" i="24"/>
  <c r="BK96" i="24"/>
  <c r="BT96" i="24"/>
  <c r="BM96" i="24"/>
  <c r="BW96" i="24"/>
  <c r="BO96" i="24"/>
  <c r="BN96" i="24"/>
  <c r="BR96" i="24"/>
  <c r="BU96" i="24"/>
  <c r="BP96" i="24"/>
  <c r="BQ96" i="24"/>
  <c r="BX96" i="24"/>
  <c r="BY96" i="24"/>
  <c r="BZ96" i="24"/>
  <c r="CA96" i="24"/>
  <c r="CN96" i="24"/>
  <c r="U118" i="24"/>
  <c r="CM96" i="24"/>
  <c r="X118" i="24"/>
  <c r="AV188" i="24"/>
  <c r="BB188" i="24"/>
  <c r="AY188" i="24"/>
  <c r="BE188" i="24"/>
  <c r="L119" i="24"/>
  <c r="AG97" i="24"/>
  <c r="AS97" i="24"/>
  <c r="AU188" i="24"/>
  <c r="BA188" i="24"/>
  <c r="AX188" i="24"/>
  <c r="BF188" i="24"/>
  <c r="M119" i="24"/>
  <c r="AH97" i="24"/>
  <c r="AT97" i="24"/>
  <c r="BG188" i="24"/>
  <c r="N119" i="24"/>
  <c r="AI97" i="24"/>
  <c r="AU97" i="24"/>
  <c r="CP97" i="24"/>
  <c r="P119" i="24"/>
  <c r="AJ97" i="24"/>
  <c r="AV97" i="24"/>
  <c r="CF97" i="24"/>
  <c r="AW97" i="24"/>
  <c r="CG97" i="24"/>
  <c r="CO97" i="24"/>
  <c r="R119" i="24"/>
  <c r="BS97" i="24"/>
  <c r="BD97" i="24"/>
  <c r="BV97" i="24"/>
  <c r="BF97" i="24"/>
  <c r="BG97" i="24"/>
  <c r="BH97" i="24"/>
  <c r="BJ97" i="24"/>
  <c r="BL97" i="24"/>
  <c r="BI97" i="24"/>
  <c r="BK97" i="24"/>
  <c r="BT97" i="24"/>
  <c r="BM97" i="24"/>
  <c r="BW97" i="24"/>
  <c r="BO97" i="24"/>
  <c r="BN97" i="24"/>
  <c r="BR97" i="24"/>
  <c r="BU97" i="24"/>
  <c r="BP97" i="24"/>
  <c r="BQ97" i="24"/>
  <c r="BX97" i="24"/>
  <c r="BY97" i="24"/>
  <c r="BZ97" i="24"/>
  <c r="CA97" i="24"/>
  <c r="CN97" i="24"/>
  <c r="U119" i="24"/>
  <c r="CM97" i="24"/>
  <c r="X119" i="24"/>
  <c r="AK68" i="24"/>
  <c r="AK69" i="24"/>
  <c r="AK70" i="24"/>
  <c r="AK71" i="24"/>
  <c r="AK72" i="24"/>
  <c r="AK73" i="24"/>
  <c r="AK74" i="24"/>
  <c r="AK75" i="24"/>
  <c r="AK76" i="24"/>
  <c r="AK77" i="24"/>
  <c r="AK78" i="24"/>
  <c r="AK79" i="24"/>
  <c r="AK80" i="24"/>
  <c r="AK82" i="24"/>
  <c r="AK83" i="24"/>
  <c r="AK84" i="24"/>
  <c r="AK85" i="24"/>
  <c r="AK86" i="24"/>
  <c r="AK87" i="24"/>
  <c r="AK88" i="24"/>
  <c r="AK89" i="24"/>
  <c r="AK90" i="24"/>
  <c r="AK91" i="24"/>
  <c r="AK92" i="24"/>
  <c r="AK93" i="24"/>
  <c r="AK94" i="24"/>
  <c r="AK95" i="24"/>
  <c r="AK96" i="24"/>
  <c r="AK97" i="24"/>
  <c r="AX81" i="24"/>
  <c r="AX82" i="24"/>
  <c r="AX83" i="24"/>
  <c r="AX84" i="24"/>
  <c r="AX85" i="24"/>
  <c r="AX86" i="24"/>
  <c r="AX87" i="24"/>
  <c r="AX88" i="24"/>
  <c r="AX89" i="24"/>
  <c r="AX90" i="24"/>
  <c r="AX91" i="24"/>
  <c r="AX92" i="24"/>
  <c r="AX93" i="24"/>
  <c r="AX94" i="24"/>
  <c r="AX95" i="24"/>
  <c r="AX96" i="24"/>
  <c r="AX97" i="24"/>
  <c r="CU18" i="24"/>
  <c r="CU33" i="24"/>
  <c r="CU48" i="24"/>
  <c r="J21" i="24"/>
  <c r="J22" i="24"/>
  <c r="J23" i="24"/>
  <c r="J24" i="24"/>
  <c r="L21" i="24"/>
  <c r="L22" i="24"/>
  <c r="L23" i="24"/>
  <c r="L24" i="24"/>
  <c r="N21" i="24"/>
  <c r="N22" i="24"/>
  <c r="N23" i="24"/>
  <c r="N24" i="24"/>
  <c r="CS14" i="24"/>
  <c r="CS29" i="24"/>
  <c r="CS44" i="24"/>
  <c r="I24" i="24"/>
  <c r="I23" i="24"/>
  <c r="I22" i="24"/>
  <c r="I21" i="24"/>
  <c r="Y13" i="24"/>
  <c r="Z13" i="24"/>
  <c r="Y22" i="24"/>
  <c r="Z22" i="24"/>
  <c r="Y23" i="24"/>
  <c r="Z23" i="24"/>
  <c r="CR14" i="24"/>
  <c r="CR29" i="24"/>
  <c r="CR44" i="24"/>
  <c r="Y14" i="24"/>
  <c r="Z14" i="24"/>
  <c r="Y17" i="24"/>
  <c r="Z17" i="24"/>
  <c r="Y15" i="24"/>
  <c r="Z15" i="24"/>
  <c r="Y19" i="24"/>
  <c r="Z19" i="24"/>
  <c r="Y18" i="24"/>
  <c r="Z18" i="24"/>
  <c r="Y20" i="24"/>
  <c r="Z20" i="24"/>
  <c r="Y21" i="24"/>
  <c r="Z21" i="24"/>
  <c r="AD17" i="24"/>
  <c r="AB17" i="24"/>
  <c r="H24" i="24"/>
  <c r="H23" i="24"/>
  <c r="H22" i="24"/>
  <c r="H21" i="24"/>
  <c r="D24" i="24"/>
  <c r="D23" i="24"/>
  <c r="D22" i="24"/>
  <c r="D21" i="24"/>
  <c r="D13" i="24"/>
  <c r="CM14" i="24"/>
  <c r="X36" i="24"/>
  <c r="BS14" i="24"/>
  <c r="BD14" i="24"/>
  <c r="BV14" i="24"/>
  <c r="BT14" i="24"/>
  <c r="BW14" i="24"/>
  <c r="BO14" i="24"/>
  <c r="BN14" i="24"/>
  <c r="BR14" i="24"/>
  <c r="BU14" i="24"/>
  <c r="BP14" i="24"/>
  <c r="BQ14" i="24"/>
  <c r="BX14" i="24"/>
  <c r="BY14" i="24"/>
  <c r="CA14" i="24"/>
  <c r="CN14" i="24"/>
  <c r="U36" i="24"/>
  <c r="CF14" i="24"/>
  <c r="CG14" i="24"/>
  <c r="CO14" i="24"/>
  <c r="R36" i="24"/>
  <c r="P36" i="24"/>
  <c r="AM3" i="24"/>
  <c r="AK224" i="24"/>
  <c r="BV197" i="24"/>
  <c r="CF22" i="24"/>
  <c r="CG22" i="24"/>
  <c r="CO22" i="24"/>
  <c r="R44" i="24"/>
  <c r="BS22" i="24"/>
  <c r="BD22" i="24"/>
  <c r="BV22" i="24"/>
  <c r="BF22" i="24"/>
  <c r="BG22" i="24"/>
  <c r="BH22" i="24"/>
  <c r="BJ22" i="24"/>
  <c r="BL22" i="24"/>
  <c r="BI22" i="24"/>
  <c r="BK22" i="24"/>
  <c r="BT22" i="24"/>
  <c r="BM22" i="24"/>
  <c r="BW22" i="24"/>
  <c r="BO22" i="24"/>
  <c r="BN22" i="24"/>
  <c r="BR22" i="24"/>
  <c r="BU22" i="24"/>
  <c r="BP22" i="24"/>
  <c r="BQ22" i="24"/>
  <c r="BX22" i="24"/>
  <c r="BY22" i="24"/>
  <c r="BZ22" i="24"/>
  <c r="CA22" i="24"/>
  <c r="CN22" i="24"/>
  <c r="U44" i="24"/>
  <c r="CM22" i="24"/>
  <c r="X44" i="24"/>
  <c r="AL224" i="24"/>
  <c r="M16" i="24"/>
  <c r="AX80" i="24"/>
  <c r="BV198" i="24"/>
  <c r="BW198" i="24"/>
  <c r="BV199" i="24"/>
  <c r="BW199" i="24"/>
  <c r="BV200" i="24"/>
  <c r="BW200" i="24"/>
  <c r="BV201" i="24"/>
  <c r="BW201" i="24"/>
  <c r="BV202" i="24"/>
  <c r="BW202" i="24"/>
  <c r="BV203" i="24"/>
  <c r="BW203" i="24"/>
  <c r="BV204" i="24"/>
  <c r="BW204" i="24"/>
  <c r="BV205" i="24"/>
  <c r="BW205" i="24"/>
  <c r="BV206" i="24"/>
  <c r="BW206" i="24"/>
  <c r="BV207" i="24"/>
  <c r="BW207" i="24"/>
  <c r="BV208" i="24"/>
  <c r="BW208" i="24"/>
  <c r="BV209" i="24"/>
  <c r="BW209" i="24"/>
  <c r="BV210" i="24"/>
  <c r="BW210" i="24"/>
  <c r="BV211" i="24"/>
  <c r="BW211" i="24"/>
  <c r="BV212" i="24"/>
  <c r="BW212" i="24"/>
  <c r="BV213" i="24"/>
  <c r="BW213" i="24"/>
  <c r="BV214" i="24"/>
  <c r="BW214" i="24"/>
  <c r="BV215" i="24"/>
  <c r="BW215" i="24"/>
  <c r="BV216" i="24"/>
  <c r="BW216" i="24"/>
  <c r="BV217" i="24"/>
  <c r="BW217" i="24"/>
  <c r="BV218" i="24"/>
  <c r="BW218" i="24"/>
  <c r="BV219" i="24"/>
  <c r="BW219" i="24"/>
  <c r="BV220" i="24"/>
  <c r="BW220" i="24"/>
  <c r="BV221" i="24"/>
  <c r="BW221" i="24"/>
  <c r="BV222" i="24"/>
  <c r="BW222" i="24"/>
  <c r="BV223" i="24"/>
  <c r="BW223" i="24"/>
  <c r="BV224" i="24"/>
  <c r="BW224" i="24"/>
  <c r="BV225" i="24"/>
  <c r="BW225" i="24"/>
  <c r="BV226" i="24"/>
  <c r="BW226" i="24"/>
  <c r="BV227" i="24"/>
  <c r="BW227" i="24"/>
  <c r="BV228" i="24"/>
  <c r="BW228" i="24"/>
  <c r="BV229" i="24"/>
  <c r="BW229" i="24"/>
  <c r="BV230" i="24"/>
  <c r="BW230" i="24"/>
  <c r="BV231" i="24"/>
  <c r="BW231" i="24"/>
  <c r="BV232" i="24"/>
  <c r="BW232" i="24"/>
  <c r="BV233" i="24"/>
  <c r="BW233" i="24"/>
  <c r="BV234" i="24"/>
  <c r="BW234" i="24"/>
  <c r="BV235" i="24"/>
  <c r="BW235" i="24"/>
  <c r="BV236" i="24"/>
  <c r="BW236" i="24"/>
  <c r="BV237" i="24"/>
  <c r="BW237" i="24"/>
  <c r="BV238" i="24"/>
  <c r="BW238" i="24"/>
  <c r="BV239" i="24"/>
  <c r="BW239" i="24"/>
  <c r="BV240" i="24"/>
  <c r="BW240" i="24"/>
  <c r="BV241" i="24"/>
  <c r="BW241" i="24"/>
  <c r="BV242" i="24"/>
  <c r="BW242" i="24"/>
  <c r="BV243" i="24"/>
  <c r="BW243" i="24"/>
  <c r="BV244" i="24"/>
  <c r="BW244" i="24"/>
  <c r="BV245" i="24"/>
  <c r="BW245" i="24"/>
  <c r="BV246" i="24"/>
  <c r="BW246" i="24"/>
  <c r="BV247" i="24"/>
  <c r="BW247" i="24"/>
  <c r="BV248" i="24"/>
  <c r="BW248" i="24"/>
  <c r="BV249" i="24"/>
  <c r="BW249" i="24"/>
  <c r="BV250" i="24"/>
  <c r="BW250" i="24"/>
  <c r="BV251" i="24"/>
  <c r="BW251" i="24"/>
  <c r="BV252" i="24"/>
  <c r="BW252" i="24"/>
  <c r="BV253" i="24"/>
  <c r="BW253" i="24"/>
  <c r="BV254" i="24"/>
  <c r="BW254" i="24"/>
  <c r="BV255" i="24"/>
  <c r="BW255" i="24"/>
  <c r="BV256" i="24"/>
  <c r="BW256" i="24"/>
  <c r="BV257" i="24"/>
  <c r="BW257" i="24"/>
  <c r="BV258" i="24"/>
  <c r="BW258" i="24"/>
  <c r="BV259" i="24"/>
  <c r="BW259" i="24"/>
  <c r="BV260" i="24"/>
  <c r="BW260" i="24"/>
  <c r="BV261" i="24"/>
  <c r="BW261" i="24"/>
  <c r="BV262" i="24"/>
  <c r="BW262" i="24"/>
  <c r="BV263" i="24"/>
  <c r="BW263" i="24"/>
  <c r="BV264" i="24"/>
  <c r="BW264" i="24"/>
  <c r="BV265" i="24"/>
  <c r="BW265" i="24"/>
  <c r="BV266" i="24"/>
  <c r="BW266" i="24"/>
  <c r="BV267" i="24"/>
  <c r="BW267" i="24"/>
  <c r="BV268" i="24"/>
  <c r="BW268" i="24"/>
  <c r="BV269" i="24"/>
  <c r="BW269" i="24"/>
  <c r="BV270" i="24"/>
  <c r="BW270" i="24"/>
  <c r="BV271" i="24"/>
  <c r="BW271" i="24"/>
  <c r="BV272" i="24"/>
  <c r="BW272" i="24"/>
  <c r="BV273" i="24"/>
  <c r="BW273" i="24"/>
  <c r="BV274" i="24"/>
  <c r="BW274" i="24"/>
  <c r="BV275" i="24"/>
  <c r="BW275" i="24"/>
  <c r="BV276" i="24"/>
  <c r="BW276" i="24"/>
  <c r="BV277" i="24"/>
  <c r="BW277" i="24"/>
  <c r="BV278" i="24"/>
  <c r="BW278" i="24"/>
  <c r="BV279" i="24"/>
  <c r="BW279" i="24"/>
  <c r="BV280" i="24"/>
  <c r="BW280" i="24"/>
  <c r="L28" i="24"/>
  <c r="M28" i="24"/>
  <c r="DS97" i="24"/>
  <c r="CK14" i="24"/>
  <c r="DR97" i="24"/>
  <c r="DQ97" i="24"/>
  <c r="CL97" i="24"/>
  <c r="CK97" i="24"/>
  <c r="CJ97" i="24"/>
  <c r="DS96" i="24"/>
  <c r="DR96" i="24"/>
  <c r="DQ96" i="24"/>
  <c r="CL96" i="24"/>
  <c r="CK96" i="24"/>
  <c r="CJ96" i="24"/>
  <c r="DS95" i="24"/>
  <c r="DR95" i="24"/>
  <c r="DQ95" i="24"/>
  <c r="CL95" i="24"/>
  <c r="CK95" i="24"/>
  <c r="CJ95" i="24"/>
  <c r="DS94" i="24"/>
  <c r="DR94" i="24"/>
  <c r="DQ94" i="24"/>
  <c r="CL94" i="24"/>
  <c r="CK94" i="24"/>
  <c r="CJ94" i="24"/>
  <c r="DS93" i="24"/>
  <c r="DR93" i="24"/>
  <c r="DQ93" i="24"/>
  <c r="CL93" i="24"/>
  <c r="CK93" i="24"/>
  <c r="CJ93" i="24"/>
  <c r="DS92" i="24"/>
  <c r="DR92" i="24"/>
  <c r="DQ92" i="24"/>
  <c r="CL92" i="24"/>
  <c r="CK92" i="24"/>
  <c r="CJ92" i="24"/>
  <c r="DS91" i="24"/>
  <c r="DR91" i="24"/>
  <c r="DQ91" i="24"/>
  <c r="CL91" i="24"/>
  <c r="CK91" i="24"/>
  <c r="CJ91" i="24"/>
  <c r="DS90" i="24"/>
  <c r="DR90" i="24"/>
  <c r="DQ90" i="24"/>
  <c r="CL90" i="24"/>
  <c r="CK90" i="24"/>
  <c r="CJ90" i="24"/>
  <c r="DS89" i="24"/>
  <c r="DR89" i="24"/>
  <c r="DQ89" i="24"/>
  <c r="CL89" i="24"/>
  <c r="CK89" i="24"/>
  <c r="CJ89" i="24"/>
  <c r="DS88" i="24"/>
  <c r="DR88" i="24"/>
  <c r="DQ88" i="24"/>
  <c r="CL88" i="24"/>
  <c r="CK88" i="24"/>
  <c r="CJ88" i="24"/>
  <c r="DS87" i="24"/>
  <c r="DR87" i="24"/>
  <c r="DQ87" i="24"/>
  <c r="CL87" i="24"/>
  <c r="CK87" i="24"/>
  <c r="CJ87" i="24"/>
  <c r="DS86" i="24"/>
  <c r="DR86" i="24"/>
  <c r="DQ86" i="24"/>
  <c r="CL86" i="24"/>
  <c r="CK86" i="24"/>
  <c r="CJ86" i="24"/>
  <c r="DS85" i="24"/>
  <c r="DR85" i="24"/>
  <c r="DQ85" i="24"/>
  <c r="CL85" i="24"/>
  <c r="CK85" i="24"/>
  <c r="CJ85" i="24"/>
  <c r="DS84" i="24"/>
  <c r="DR84" i="24"/>
  <c r="DQ84" i="24"/>
  <c r="CL84" i="24"/>
  <c r="CK84" i="24"/>
  <c r="CJ84" i="24"/>
  <c r="DS83" i="24"/>
  <c r="DR83" i="24"/>
  <c r="DQ83" i="24"/>
  <c r="CL83" i="24"/>
  <c r="CK83" i="24"/>
  <c r="CJ83" i="24"/>
  <c r="DS82" i="24"/>
  <c r="DR82" i="24"/>
  <c r="DQ82" i="24"/>
  <c r="CL82" i="24"/>
  <c r="CK82" i="24"/>
  <c r="CJ82" i="24"/>
  <c r="DS81" i="24"/>
  <c r="DR81" i="24"/>
  <c r="DQ81" i="24"/>
  <c r="CL81" i="24"/>
  <c r="CK81" i="24"/>
  <c r="CJ81" i="24"/>
  <c r="DS80" i="24"/>
  <c r="DR80" i="24"/>
  <c r="DQ80" i="24"/>
  <c r="CL80" i="24"/>
  <c r="CK80" i="24"/>
  <c r="CJ80" i="24"/>
  <c r="DS79" i="24"/>
  <c r="DR79" i="24"/>
  <c r="DQ79" i="24"/>
  <c r="CL79" i="24"/>
  <c r="CK79" i="24"/>
  <c r="CJ79" i="24"/>
  <c r="DS78" i="24"/>
  <c r="DR78" i="24"/>
  <c r="DQ78" i="24"/>
  <c r="CX78" i="24"/>
  <c r="CK78" i="24"/>
  <c r="DS77" i="24"/>
  <c r="DR77" i="24"/>
  <c r="DQ77" i="24"/>
  <c r="CL77" i="24"/>
  <c r="CK77" i="24"/>
  <c r="DS76" i="24"/>
  <c r="DR76" i="24"/>
  <c r="DQ76" i="24"/>
  <c r="CL76" i="24"/>
  <c r="CK76" i="24"/>
  <c r="CJ76" i="24"/>
  <c r="DS75" i="24"/>
  <c r="DR75" i="24"/>
  <c r="DQ75" i="24"/>
  <c r="CX75" i="24"/>
  <c r="CK75" i="24"/>
  <c r="DS74" i="24"/>
  <c r="DR74" i="24"/>
  <c r="DQ74" i="24"/>
  <c r="CL74" i="24"/>
  <c r="CK74" i="24"/>
  <c r="DS73" i="24"/>
  <c r="DR73" i="24"/>
  <c r="DQ73" i="24"/>
  <c r="CL73" i="24"/>
  <c r="CK73" i="24"/>
  <c r="CJ73" i="24"/>
  <c r="DS72" i="24"/>
  <c r="DR72" i="24"/>
  <c r="DQ72" i="24"/>
  <c r="CX72" i="24"/>
  <c r="CK72" i="24"/>
  <c r="DS71" i="24"/>
  <c r="DR71" i="24"/>
  <c r="DQ71" i="24"/>
  <c r="CL71" i="24"/>
  <c r="CK71" i="24"/>
  <c r="DS70" i="24"/>
  <c r="DR70" i="24"/>
  <c r="DQ70" i="24"/>
  <c r="CL70" i="24"/>
  <c r="CK70" i="24"/>
  <c r="CJ70" i="24"/>
  <c r="DS69" i="24"/>
  <c r="DR69" i="24"/>
  <c r="DQ69" i="24"/>
  <c r="CX69" i="24"/>
  <c r="CK69" i="24"/>
  <c r="DS68" i="24"/>
  <c r="DR68" i="24"/>
  <c r="DQ68" i="24"/>
  <c r="CL68" i="24"/>
  <c r="CK68" i="24"/>
  <c r="DS67" i="24"/>
  <c r="DR67" i="24"/>
  <c r="DQ67" i="24"/>
  <c r="CL67" i="24"/>
  <c r="CK67" i="24"/>
  <c r="CJ67" i="24"/>
  <c r="DS66" i="24"/>
  <c r="DR66" i="24"/>
  <c r="DQ66" i="24"/>
  <c r="CX66" i="24"/>
  <c r="CK66" i="24"/>
  <c r="DS65" i="24"/>
  <c r="DR65" i="24"/>
  <c r="DQ65" i="24"/>
  <c r="CL65" i="24"/>
  <c r="CK65" i="24"/>
  <c r="DS64" i="24"/>
  <c r="DR64" i="24"/>
  <c r="DQ64" i="24"/>
  <c r="CL64" i="24"/>
  <c r="CK64" i="24"/>
  <c r="DS63" i="24"/>
  <c r="DR63" i="24"/>
  <c r="DQ63" i="24"/>
  <c r="CX63" i="24"/>
  <c r="CK63" i="24"/>
  <c r="DS62" i="24"/>
  <c r="DR62" i="24"/>
  <c r="DQ62" i="24"/>
  <c r="CL62" i="24"/>
  <c r="CK62" i="24"/>
  <c r="DS61" i="24"/>
  <c r="DR61" i="24"/>
  <c r="DQ61" i="24"/>
  <c r="CL61" i="24"/>
  <c r="CK61" i="24"/>
  <c r="CL60" i="24"/>
  <c r="CK60" i="24"/>
  <c r="CJ60" i="24"/>
  <c r="DS59" i="24"/>
  <c r="DR59" i="24"/>
  <c r="DQ59" i="24"/>
  <c r="CL59" i="24"/>
  <c r="CK59" i="24"/>
  <c r="CJ59" i="24"/>
  <c r="DS58" i="24"/>
  <c r="DR58" i="24"/>
  <c r="DQ58" i="24"/>
  <c r="CL58" i="24"/>
  <c r="CK58" i="24"/>
  <c r="CJ58" i="24"/>
  <c r="DS57" i="24"/>
  <c r="DR57" i="24"/>
  <c r="DQ57" i="24"/>
  <c r="CL57" i="24"/>
  <c r="CK57" i="24"/>
  <c r="CJ57" i="24"/>
  <c r="DS56" i="24"/>
  <c r="DR56" i="24"/>
  <c r="DQ56" i="24"/>
  <c r="CL56" i="24"/>
  <c r="CK56" i="24"/>
  <c r="CJ56" i="24"/>
  <c r="DS55" i="24"/>
  <c r="DR55" i="24"/>
  <c r="DQ55" i="24"/>
  <c r="CL55" i="24"/>
  <c r="CK55" i="24"/>
  <c r="CJ55" i="24"/>
  <c r="DS54" i="24"/>
  <c r="DR54" i="24"/>
  <c r="DQ54" i="24"/>
  <c r="CL54" i="24"/>
  <c r="CK54" i="24"/>
  <c r="CJ54" i="24"/>
  <c r="DS53" i="24"/>
  <c r="DR53" i="24"/>
  <c r="DQ53" i="24"/>
  <c r="CL53" i="24"/>
  <c r="CK53" i="24"/>
  <c r="CJ53" i="24"/>
  <c r="DS52" i="24"/>
  <c r="DR52" i="24"/>
  <c r="DQ52" i="24"/>
  <c r="CL52" i="24"/>
  <c r="CK52" i="24"/>
  <c r="CJ52" i="24"/>
  <c r="DS51" i="24"/>
  <c r="DR51" i="24"/>
  <c r="DQ51" i="24"/>
  <c r="CL51" i="24"/>
  <c r="CK51" i="24"/>
  <c r="CJ51" i="24"/>
  <c r="DS50" i="24"/>
  <c r="DR50" i="24"/>
  <c r="DQ50" i="24"/>
  <c r="CK50" i="24"/>
  <c r="CJ50" i="24"/>
  <c r="DS49" i="24"/>
  <c r="DR49" i="24"/>
  <c r="DQ49" i="24"/>
  <c r="CL49" i="24"/>
  <c r="CK49" i="24"/>
  <c r="CJ49" i="24"/>
  <c r="DS48" i="24"/>
  <c r="DR48" i="24"/>
  <c r="DQ48" i="24"/>
  <c r="CV48" i="24"/>
  <c r="CK48" i="24"/>
  <c r="CJ48" i="24"/>
  <c r="DS47" i="24"/>
  <c r="DR47" i="24"/>
  <c r="DQ47" i="24"/>
  <c r="CL47" i="24"/>
  <c r="CK47" i="24"/>
  <c r="CJ47" i="24"/>
  <c r="DS46" i="24"/>
  <c r="DR46" i="24"/>
  <c r="DQ46" i="24"/>
  <c r="CK46" i="24"/>
  <c r="CJ46" i="24"/>
  <c r="DS45" i="24"/>
  <c r="DR45" i="24"/>
  <c r="DQ45" i="24"/>
  <c r="CL45" i="24"/>
  <c r="CK45" i="24"/>
  <c r="CJ45" i="24"/>
  <c r="DS44" i="24"/>
  <c r="DR44" i="24"/>
  <c r="DQ44" i="24"/>
  <c r="CK44" i="24"/>
  <c r="CJ44" i="24"/>
  <c r="DS43" i="24"/>
  <c r="DR43" i="24"/>
  <c r="DQ43" i="24"/>
  <c r="CL43" i="24"/>
  <c r="CK43" i="24"/>
  <c r="CJ43" i="24"/>
  <c r="DS42" i="24"/>
  <c r="DR42" i="24"/>
  <c r="DQ42" i="24"/>
  <c r="CK42" i="24"/>
  <c r="CJ42" i="24"/>
  <c r="DS41" i="24"/>
  <c r="DR41" i="24"/>
  <c r="DQ41" i="24"/>
  <c r="CL41" i="24"/>
  <c r="CK41" i="24"/>
  <c r="CJ41" i="24"/>
  <c r="DS40" i="24"/>
  <c r="DR40" i="24"/>
  <c r="DQ40" i="24"/>
  <c r="CL40" i="24"/>
  <c r="CK40" i="24"/>
  <c r="CJ40" i="24"/>
  <c r="DS39" i="24"/>
  <c r="DR39" i="24"/>
  <c r="DQ39" i="24"/>
  <c r="CL39" i="24"/>
  <c r="CK39" i="24"/>
  <c r="CJ39" i="24"/>
  <c r="DS38" i="24"/>
  <c r="DR38" i="24"/>
  <c r="DQ38" i="24"/>
  <c r="CK38" i="24"/>
  <c r="DS37" i="24"/>
  <c r="DR37" i="24"/>
  <c r="DQ37" i="24"/>
  <c r="CK37" i="24"/>
  <c r="DS36" i="24"/>
  <c r="DR36" i="24"/>
  <c r="DQ36" i="24"/>
  <c r="CK36" i="24"/>
  <c r="DS35" i="24"/>
  <c r="DR35" i="24"/>
  <c r="DQ35" i="24"/>
  <c r="CK35" i="24"/>
  <c r="DS34" i="24"/>
  <c r="DR34" i="24"/>
  <c r="DQ34" i="24"/>
  <c r="CK34" i="24"/>
  <c r="CV33" i="24"/>
  <c r="CK33" i="24"/>
  <c r="CJ33" i="24"/>
  <c r="DS32" i="24"/>
  <c r="DR32" i="24"/>
  <c r="DQ32" i="24"/>
  <c r="CL32" i="24"/>
  <c r="CK32" i="24"/>
  <c r="CJ32" i="24"/>
  <c r="DS31" i="24"/>
  <c r="DR31" i="24"/>
  <c r="DQ31" i="24"/>
  <c r="CL31" i="24"/>
  <c r="CK31" i="24"/>
  <c r="CJ31" i="24"/>
  <c r="DS30" i="24"/>
  <c r="DR30" i="24"/>
  <c r="DQ30" i="24"/>
  <c r="CL30" i="24"/>
  <c r="CK30" i="24"/>
  <c r="CJ30" i="24"/>
  <c r="DS29" i="24"/>
  <c r="DR29" i="24"/>
  <c r="DQ29" i="24"/>
  <c r="CK29" i="24"/>
  <c r="CJ29" i="24"/>
  <c r="DS28" i="24"/>
  <c r="DR28" i="24"/>
  <c r="DQ28" i="24"/>
  <c r="CL28" i="24"/>
  <c r="CK28" i="24"/>
  <c r="CJ28" i="24"/>
  <c r="DS27" i="24"/>
  <c r="DR27" i="24"/>
  <c r="DQ27" i="24"/>
  <c r="CL27" i="24"/>
  <c r="CK27" i="24"/>
  <c r="CJ27" i="24"/>
  <c r="DS26" i="24"/>
  <c r="DR26" i="24"/>
  <c r="DQ26" i="24"/>
  <c r="CL26" i="24"/>
  <c r="CK26" i="24"/>
  <c r="CJ26" i="24"/>
  <c r="DS25" i="24"/>
  <c r="DR25" i="24"/>
  <c r="DQ25" i="24"/>
  <c r="CL25" i="24"/>
  <c r="CK25" i="24"/>
  <c r="CJ25" i="24"/>
  <c r="DS24" i="24"/>
  <c r="DR24" i="24"/>
  <c r="DQ24" i="24"/>
  <c r="CL24" i="24"/>
  <c r="CK24" i="24"/>
  <c r="CJ24" i="24"/>
  <c r="DS23" i="24"/>
  <c r="DR23" i="24"/>
  <c r="DQ23" i="24"/>
  <c r="CK23" i="24"/>
  <c r="CJ23" i="24"/>
  <c r="DS22" i="24"/>
  <c r="DR22" i="24"/>
  <c r="DQ22" i="24"/>
  <c r="CL22" i="24"/>
  <c r="CK22" i="24"/>
  <c r="CJ22" i="24"/>
  <c r="DS21" i="24"/>
  <c r="DR21" i="24"/>
  <c r="DQ21" i="24"/>
  <c r="CL21" i="24"/>
  <c r="CK21" i="24"/>
  <c r="CJ21" i="24"/>
  <c r="DS20" i="24"/>
  <c r="DR20" i="24"/>
  <c r="DQ20" i="24"/>
  <c r="CL20" i="24"/>
  <c r="CK20" i="24"/>
  <c r="CJ20" i="24"/>
  <c r="DS19" i="24"/>
  <c r="DR19" i="24"/>
  <c r="DQ19" i="24"/>
  <c r="CK19" i="24"/>
  <c r="CJ19" i="24"/>
  <c r="DS18" i="24"/>
  <c r="DR18" i="24"/>
  <c r="DQ18" i="24"/>
  <c r="CV18" i="24"/>
  <c r="CK18" i="24"/>
  <c r="CJ18" i="24"/>
  <c r="DS17" i="24"/>
  <c r="DR17" i="24"/>
  <c r="DQ17" i="24"/>
  <c r="CL17" i="24"/>
  <c r="CK17" i="24"/>
  <c r="CJ17" i="24"/>
  <c r="DS16" i="24"/>
  <c r="DR16" i="24"/>
  <c r="DQ16" i="24"/>
  <c r="CL16" i="24"/>
  <c r="CK16" i="24"/>
  <c r="CJ16" i="24"/>
  <c r="DS15" i="24"/>
  <c r="DR15" i="24"/>
  <c r="DQ15" i="24"/>
  <c r="CK15" i="24"/>
  <c r="CJ15" i="24"/>
  <c r="DS14" i="24"/>
  <c r="DR14" i="24"/>
  <c r="DQ14" i="24"/>
  <c r="CJ14" i="24"/>
</calcChain>
</file>

<file path=xl/sharedStrings.xml><?xml version="1.0" encoding="utf-8"?>
<sst xmlns="http://schemas.openxmlformats.org/spreadsheetml/2006/main" count="385" uniqueCount="272">
  <si>
    <t>Data Type Drop-down List</t>
  </si>
  <si>
    <r>
      <rPr>
        <b/>
        <sz val="10"/>
        <rFont val="Arial"/>
      </rPr>
      <t>Illuminant:</t>
    </r>
    <r>
      <rPr>
        <sz val="10"/>
        <rFont val="Arial"/>
      </rPr>
      <t xml:space="preserve"> D50</t>
    </r>
  </si>
  <si>
    <r>
      <rPr>
        <b/>
        <sz val="10"/>
        <rFont val="Arial"/>
      </rPr>
      <t xml:space="preserve">Observer: </t>
    </r>
    <r>
      <rPr>
        <sz val="10"/>
        <rFont val="Arial"/>
      </rPr>
      <t>CIE 2 degree</t>
    </r>
  </si>
  <si>
    <r>
      <rPr>
        <b/>
        <sz val="10"/>
        <rFont val="Arial"/>
      </rPr>
      <t>Sample Backing:</t>
    </r>
    <r>
      <rPr>
        <sz val="10"/>
        <rFont val="Arial"/>
      </rPr>
      <t xml:space="preserve"> White</t>
    </r>
  </si>
  <si>
    <t>Select appropriate data type:</t>
  </si>
  <si>
    <t>L*</t>
  </si>
  <si>
    <t>a*</t>
  </si>
  <si>
    <t>b*</t>
  </si>
  <si>
    <t>Reference Data</t>
  </si>
  <si>
    <t xml:space="preserve"> </t>
  </si>
  <si>
    <t>C</t>
  </si>
  <si>
    <t>M</t>
  </si>
  <si>
    <t>Y</t>
  </si>
  <si>
    <t>K</t>
  </si>
  <si>
    <t>Patch Value</t>
  </si>
  <si>
    <t>∆L</t>
  </si>
  <si>
    <t>NPDC</t>
  </si>
  <si>
    <t>-</t>
  </si>
  <si>
    <t>Initial installation</t>
  </si>
  <si>
    <t>Step 1 - Measuring the target and saving the data</t>
  </si>
  <si>
    <t>Step 2 - Importing data in Proof Verifier</t>
  </si>
  <si>
    <t>Paste measured values</t>
  </si>
  <si>
    <t>• Select the data type in the 'Select appropriate data type:' pop-down menu</t>
  </si>
  <si>
    <t>∆F</t>
  </si>
  <si>
    <t>• Open Proof Verifier in Excel</t>
  </si>
  <si>
    <r>
      <t>∆E</t>
    </r>
    <r>
      <rPr>
        <b/>
        <sz val="6"/>
        <rFont val="Arial"/>
        <family val="2"/>
      </rPr>
      <t>76</t>
    </r>
  </si>
  <si>
    <t>R</t>
  </si>
  <si>
    <t>G</t>
  </si>
  <si>
    <t>B</t>
  </si>
  <si>
    <t>HC</t>
  </si>
  <si>
    <t>HR</t>
  </si>
  <si>
    <t>SC</t>
  </si>
  <si>
    <t>All Patches</t>
  </si>
  <si>
    <t>Step 3 - Viewing the data</t>
  </si>
  <si>
    <t>• The 'Primary, Overprint, and Gray Values' table shows</t>
  </si>
  <si>
    <t>• The 'Maximum Patches' table shows which patches (% value)</t>
  </si>
  <si>
    <t xml:space="preserve">  have the highest ∆E</t>
  </si>
  <si>
    <t>• The 'Pass-Fail box shows if the proof Passed or Failed</t>
  </si>
  <si>
    <t xml:space="preserve">  for the set tolerances</t>
  </si>
  <si>
    <t>Maximum Patches</t>
  </si>
  <si>
    <t>Grays</t>
  </si>
  <si>
    <t>∆H</t>
  </si>
  <si>
    <t>Paper</t>
  </si>
  <si>
    <t>Primaries</t>
  </si>
  <si>
    <t>Overprints</t>
  </si>
  <si>
    <t>∆E76</t>
  </si>
  <si>
    <t>C</t>
    <phoneticPr fontId="8" type="noConversion"/>
  </si>
  <si>
    <t>H</t>
    <phoneticPr fontId="8" type="noConversion"/>
  </si>
  <si>
    <t>∆a</t>
  </si>
  <si>
    <t>∆b</t>
  </si>
  <si>
    <t>∆C</t>
  </si>
  <si>
    <t>SL</t>
  </si>
  <si>
    <t>SH</t>
  </si>
  <si>
    <t>T</t>
  </si>
  <si>
    <t>F</t>
  </si>
  <si>
    <t>LX'</t>
  </si>
  <si>
    <t>C1</t>
  </si>
  <si>
    <t>C2</t>
  </si>
  <si>
    <t>CX</t>
  </si>
  <si>
    <t>a1'</t>
  </si>
  <si>
    <t>a2'</t>
  </si>
  <si>
    <t>C1'</t>
  </si>
  <si>
    <t>C2'</t>
  </si>
  <si>
    <t>CX'</t>
  </si>
  <si>
    <t>h1'</t>
  </si>
  <si>
    <t>h2'</t>
  </si>
  <si>
    <t>HX'</t>
  </si>
  <si>
    <t>Dh'</t>
    <phoneticPr fontId="8" type="noConversion"/>
  </si>
  <si>
    <t>DL'</t>
  </si>
  <si>
    <t>DC'</t>
  </si>
  <si>
    <t>DH'</t>
  </si>
  <si>
    <t>TH</t>
  </si>
  <si>
    <t>RC</t>
  </si>
  <si>
    <t>RT</t>
  </si>
  <si>
    <t>KL</t>
  </si>
  <si>
    <t>KC</t>
  </si>
  <si>
    <t>KH</t>
  </si>
  <si>
    <t>∆E2000</t>
  </si>
  <si>
    <t>Ref-L</t>
  </si>
  <si>
    <t>Ref-a</t>
  </si>
  <si>
    <t>Ref-b</t>
  </si>
  <si>
    <t>Sam-L</t>
  </si>
  <si>
    <t>Sam-a</t>
  </si>
  <si>
    <t>Sam-b</t>
  </si>
  <si>
    <t>∆E CMC</t>
  </si>
  <si>
    <t>fx</t>
  </si>
  <si>
    <t>fz</t>
  </si>
  <si>
    <t>fy</t>
  </si>
  <si>
    <t>xr</t>
  </si>
  <si>
    <t>yr</t>
  </si>
  <si>
    <t>zr</t>
  </si>
  <si>
    <t>X</t>
  </si>
  <si>
    <t>Z</t>
  </si>
  <si>
    <t>Sample Data</t>
  </si>
  <si>
    <r>
      <t>X</t>
    </r>
    <r>
      <rPr>
        <vertAlign val="subscript"/>
        <sz val="10"/>
        <color indexed="8"/>
        <rFont val="Arial"/>
      </rPr>
      <t>s1</t>
    </r>
  </si>
  <si>
    <r>
      <t>X</t>
    </r>
    <r>
      <rPr>
        <vertAlign val="subscript"/>
        <sz val="10"/>
        <rFont val="Arial"/>
      </rPr>
      <t>s2</t>
    </r>
  </si>
  <si>
    <r>
      <t>X</t>
    </r>
    <r>
      <rPr>
        <vertAlign val="subscript"/>
        <sz val="10"/>
        <rFont val="Arial"/>
      </rPr>
      <t>min</t>
    </r>
  </si>
  <si>
    <r>
      <t>f</t>
    </r>
    <r>
      <rPr>
        <vertAlign val="subscript"/>
        <sz val="10"/>
        <color indexed="8"/>
        <rFont val="Arial"/>
      </rPr>
      <t>x</t>
    </r>
  </si>
  <si>
    <r>
      <t>f</t>
    </r>
    <r>
      <rPr>
        <vertAlign val="subscript"/>
        <sz val="10"/>
        <rFont val="Arial"/>
      </rPr>
      <t>z</t>
    </r>
  </si>
  <si>
    <r>
      <t>f</t>
    </r>
    <r>
      <rPr>
        <vertAlign val="subscript"/>
        <sz val="10"/>
        <rFont val="Arial"/>
      </rPr>
      <t>y</t>
    </r>
  </si>
  <si>
    <r>
      <t>x</t>
    </r>
    <r>
      <rPr>
        <vertAlign val="subscript"/>
        <sz val="10"/>
        <color indexed="8"/>
        <rFont val="Arial"/>
      </rPr>
      <t>r</t>
    </r>
  </si>
  <si>
    <r>
      <t>y</t>
    </r>
    <r>
      <rPr>
        <vertAlign val="subscript"/>
        <sz val="10"/>
        <color indexed="8"/>
        <rFont val="Arial"/>
      </rPr>
      <t>r</t>
    </r>
  </si>
  <si>
    <r>
      <t>z</t>
    </r>
    <r>
      <rPr>
        <vertAlign val="subscript"/>
        <sz val="10"/>
        <color indexed="8"/>
        <rFont val="Arial"/>
      </rPr>
      <t>r</t>
    </r>
  </si>
  <si>
    <r>
      <rPr>
        <sz val="10"/>
        <rFont val="Arial"/>
      </rPr>
      <t>Y</t>
    </r>
    <r>
      <rPr>
        <vertAlign val="subscript"/>
        <sz val="10"/>
        <rFont val="Arial"/>
      </rPr>
      <t>min</t>
    </r>
  </si>
  <si>
    <r>
      <t>Z</t>
    </r>
    <r>
      <rPr>
        <vertAlign val="subscript"/>
        <sz val="10"/>
        <rFont val="Arial"/>
      </rPr>
      <t>min</t>
    </r>
  </si>
  <si>
    <t>Relative Ref XYZ</t>
  </si>
  <si>
    <t>L</t>
  </si>
  <si>
    <t>a</t>
  </si>
  <si>
    <t>b</t>
  </si>
  <si>
    <t xml:space="preserve">CMC </t>
  </si>
  <si>
    <r>
      <t>∆E</t>
    </r>
    <r>
      <rPr>
        <b/>
        <sz val="6"/>
        <rFont val="Arial"/>
        <family val="2"/>
      </rPr>
      <t>94</t>
    </r>
  </si>
  <si>
    <t>∆E94</t>
  </si>
  <si>
    <r>
      <t>Y</t>
    </r>
    <r>
      <rPr>
        <vertAlign val="subscript"/>
        <sz val="10"/>
        <color indexed="8"/>
        <rFont val="Arial"/>
      </rPr>
      <t>s1</t>
    </r>
  </si>
  <si>
    <r>
      <t>Z</t>
    </r>
    <r>
      <rPr>
        <vertAlign val="subscript"/>
        <sz val="10"/>
        <color indexed="8"/>
        <rFont val="Arial"/>
      </rPr>
      <t>s1</t>
    </r>
  </si>
  <si>
    <r>
      <t>Y</t>
    </r>
    <r>
      <rPr>
        <vertAlign val="subscript"/>
        <sz val="10"/>
        <rFont val="Arial"/>
      </rPr>
      <t>s2</t>
    </r>
  </si>
  <si>
    <r>
      <t>Z</t>
    </r>
    <r>
      <rPr>
        <vertAlign val="subscript"/>
        <sz val="10"/>
        <rFont val="Arial"/>
      </rPr>
      <t>s2</t>
    </r>
  </si>
  <si>
    <r>
      <t>L</t>
    </r>
    <r>
      <rPr>
        <vertAlign val="subscript"/>
        <sz val="10"/>
        <color indexed="8"/>
        <rFont val="Arial"/>
      </rPr>
      <t>s1</t>
    </r>
  </si>
  <si>
    <r>
      <t>a</t>
    </r>
    <r>
      <rPr>
        <vertAlign val="subscript"/>
        <sz val="10"/>
        <color indexed="8"/>
        <rFont val="Arial"/>
      </rPr>
      <t>s1</t>
    </r>
  </si>
  <si>
    <r>
      <t>b</t>
    </r>
    <r>
      <rPr>
        <vertAlign val="subscript"/>
        <sz val="10"/>
        <color indexed="8"/>
        <rFont val="Arial"/>
      </rPr>
      <t>s1</t>
    </r>
  </si>
  <si>
    <r>
      <t>L</t>
    </r>
    <r>
      <rPr>
        <vertAlign val="subscript"/>
        <sz val="10"/>
        <rFont val="Arial"/>
      </rPr>
      <t>s2</t>
    </r>
  </si>
  <si>
    <r>
      <t>a</t>
    </r>
    <r>
      <rPr>
        <vertAlign val="subscript"/>
        <sz val="10"/>
        <rFont val="Arial"/>
      </rPr>
      <t>s2</t>
    </r>
  </si>
  <si>
    <r>
      <t>b</t>
    </r>
    <r>
      <rPr>
        <vertAlign val="subscript"/>
        <sz val="10"/>
        <rFont val="Arial"/>
      </rPr>
      <t>s2</t>
    </r>
  </si>
  <si>
    <t>Cx</t>
  </si>
  <si>
    <t>Cy</t>
  </si>
  <si>
    <t>Cz</t>
  </si>
  <si>
    <t>95th Pctl</t>
  </si>
  <si>
    <t>max ∆H ≤</t>
  </si>
  <si>
    <r>
      <t>max ∆E</t>
    </r>
    <r>
      <rPr>
        <sz val="6"/>
        <rFont val="Arial"/>
        <family val="2"/>
      </rPr>
      <t>76</t>
    </r>
    <r>
      <rPr>
        <sz val="8"/>
        <rFont val="Arial"/>
        <family val="2"/>
      </rPr>
      <t xml:space="preserve"> ≤</t>
    </r>
  </si>
  <si>
    <r>
      <t>avg ∆E</t>
    </r>
    <r>
      <rPr>
        <sz val="6"/>
        <rFont val="Arial"/>
        <family val="2"/>
      </rPr>
      <t>76</t>
    </r>
    <r>
      <rPr>
        <sz val="8"/>
        <rFont val="Arial"/>
        <family val="2"/>
      </rPr>
      <t xml:space="preserve"> ≤</t>
    </r>
  </si>
  <si>
    <t>∆L*</t>
  </si>
  <si>
    <r>
      <t>∆E</t>
    </r>
    <r>
      <rPr>
        <b/>
        <sz val="6"/>
        <rFont val="Arial"/>
        <family val="2"/>
      </rPr>
      <t>00</t>
    </r>
  </si>
  <si>
    <r>
      <t xml:space="preserve">  the ∆E, ∆H, ∆</t>
    </r>
    <r>
      <rPr>
        <i/>
        <sz val="10"/>
        <rFont val="Arial"/>
      </rPr>
      <t>C</t>
    </r>
    <r>
      <rPr>
        <sz val="6"/>
        <rFont val="Arial"/>
        <family val="2"/>
      </rPr>
      <t>h</t>
    </r>
    <r>
      <rPr>
        <sz val="10"/>
        <rFont val="Arial"/>
      </rPr>
      <t>, and ∆L* for each color in the table</t>
    </r>
  </si>
  <si>
    <r>
      <t>Note, ∆</t>
    </r>
    <r>
      <rPr>
        <i/>
        <sz val="10"/>
        <rFont val="Arial"/>
      </rPr>
      <t>C</t>
    </r>
    <r>
      <rPr>
        <sz val="6"/>
        <rFont val="Arial"/>
        <family val="2"/>
      </rPr>
      <t>h</t>
    </r>
    <r>
      <rPr>
        <sz val="10"/>
        <rFont val="Arial"/>
      </rPr>
      <t xml:space="preserve"> is the difference between two colors, ignoring their lightness difference.  This is very useful for measuring gray balance error.</t>
    </r>
  </si>
  <si>
    <t>Points on a gray scale should always be expressed in terms of ∆Ch and ∆L* together.  ∆L* monitors tonality, ∆Ch monitors gray balance.</t>
  </si>
  <si>
    <t>CMC factors</t>
  </si>
  <si>
    <t>Overall</t>
  </si>
  <si>
    <t>Primaries, Overprints, and Gray Values</t>
  </si>
  <si>
    <t>Convert Selected Ref to XYZ for SCCA</t>
  </si>
  <si>
    <t>SCCA XYZ Scalars</t>
  </si>
  <si>
    <t>Convert scaled Ref XYZ to Lab for SCCA</t>
  </si>
  <si>
    <t>SCCA Ref Lab</t>
  </si>
  <si>
    <t>Delta Calcs</t>
  </si>
  <si>
    <t>Sample Input</t>
  </si>
  <si>
    <t>Convert Input Sample to XYZ for SCCA Scalars</t>
  </si>
  <si>
    <t>Selected Absolute Ref</t>
  </si>
  <si>
    <t>Final Selected Ref</t>
  </si>
  <si>
    <t>2T Max Value Lookup</t>
  </si>
  <si>
    <t>2T Refs</t>
  </si>
  <si>
    <t>3T Max Value Lookup</t>
  </si>
  <si>
    <t>3T Refs</t>
  </si>
  <si>
    <t>X-Rite MeasureTool</t>
  </si>
  <si>
    <t>X-Rite ColorPort</t>
  </si>
  <si>
    <t>X-Rite i1Profiler</t>
  </si>
  <si>
    <t>Capture Software</t>
  </si>
  <si>
    <t>Strip Format</t>
  </si>
  <si>
    <t>SCCA Options</t>
  </si>
  <si>
    <t>SWOP5_i1P_2T</t>
  </si>
  <si>
    <t>SWOP5_i1P_3T</t>
  </si>
  <si>
    <t>CRPC_1_i1P_2T</t>
  </si>
  <si>
    <t>CRPC_4_i1P_2T</t>
  </si>
  <si>
    <t>CRPC_5_i1P_2T</t>
  </si>
  <si>
    <t>CRPC_6_i1P_2T</t>
  </si>
  <si>
    <t>CRPC_7_i1P_2T</t>
  </si>
  <si>
    <t>CRPC_1_i1P_3T</t>
  </si>
  <si>
    <t>CRPC_4_i1P_3T</t>
  </si>
  <si>
    <t>CRPC_5_i1P_3T</t>
  </si>
  <si>
    <t>CRPC_6_i1P_3T</t>
  </si>
  <si>
    <t>CRPC_7_i1P_3T</t>
  </si>
  <si>
    <t>MT</t>
  </si>
  <si>
    <t>CP</t>
  </si>
  <si>
    <t>i1P</t>
  </si>
  <si>
    <t>2T</t>
  </si>
  <si>
    <t>3T</t>
  </si>
  <si>
    <t>CRPC_1</t>
  </si>
  <si>
    <t>CRPC_2</t>
  </si>
  <si>
    <t>CRPC_3</t>
  </si>
  <si>
    <t>CRPC_4</t>
  </si>
  <si>
    <t>CRPC_5</t>
  </si>
  <si>
    <t>SWOP5</t>
  </si>
  <si>
    <t>CRPC_6</t>
  </si>
  <si>
    <t>CRPC_7</t>
  </si>
  <si>
    <t>Selected Set</t>
  </si>
  <si>
    <t>CRPC_2_i1P_2T</t>
  </si>
  <si>
    <t>CRPC_3_i1P_2T</t>
  </si>
  <si>
    <t>CRPC_2_i1P_3T</t>
  </si>
  <si>
    <t>CRPC_3_i1P_3T</t>
  </si>
  <si>
    <t>Ref X</t>
  </si>
  <si>
    <t>Ref Y</t>
  </si>
  <si>
    <t>Ref Z</t>
  </si>
  <si>
    <t>Sample X</t>
  </si>
  <si>
    <t>Sample Y</t>
  </si>
  <si>
    <t>Sample Z</t>
  </si>
  <si>
    <t>Ref L</t>
  </si>
  <si>
    <t>Ref a</t>
  </si>
  <si>
    <t>Ref b</t>
  </si>
  <si>
    <t>Sample L</t>
  </si>
  <si>
    <t>Sample a</t>
  </si>
  <si>
    <t>Sample b</t>
  </si>
  <si>
    <t>Patch Lookups - All Values</t>
  </si>
  <si>
    <t>Patch Lookups - Primaries</t>
  </si>
  <si>
    <t>Patch Lookups - Overprints</t>
  </si>
  <si>
    <t>Patch Lookups - Grays</t>
  </si>
  <si>
    <t>Patch Lookups - NPD</t>
  </si>
  <si>
    <t>Device Values</t>
  </si>
  <si>
    <t>SCCA Lookups</t>
  </si>
  <si>
    <t>W∆L</t>
  </si>
  <si>
    <t>W∆C</t>
  </si>
  <si>
    <t>w∆L*</t>
  </si>
  <si>
    <t>avg w∆L* ≤</t>
  </si>
  <si>
    <t>max w∆L* ≤</t>
  </si>
  <si>
    <t>avg w∆Ch ≤</t>
  </si>
  <si>
    <t>HEATSET NEWS (CGATS21-2 CRPC2)</t>
  </si>
  <si>
    <t>SWOP2013-SC (CGATS21-2 CRPC4)</t>
  </si>
  <si>
    <t>SWOP2013-C3 (CGATS21-2 CRPC5)</t>
  </si>
  <si>
    <t>GRACOL2013-C1 (CGATS21-2 CRPC6)</t>
  </si>
  <si>
    <t>UNIVERSAL-XL (CGATS21-2 CRPC7)</t>
  </si>
  <si>
    <t>∆Ch</t>
  </si>
  <si>
    <t>COLDSET NEWS (CGATS21-2 CRPC1)</t>
  </si>
  <si>
    <t>SWOP2013-C5 (CGATS21-2 CRPC5 SCCA)</t>
  </si>
  <si>
    <t>GRACOL2013-UNC (CGATS21-2 CRPC3)</t>
  </si>
  <si>
    <r>
      <t>w∆C</t>
    </r>
    <r>
      <rPr>
        <b/>
        <sz val="6"/>
        <rFont val="Arial"/>
        <family val="2"/>
      </rPr>
      <t>h</t>
    </r>
  </si>
  <si>
    <r>
      <t>max w∆C</t>
    </r>
    <r>
      <rPr>
        <sz val="6"/>
        <rFont val="Arial"/>
        <family val="2"/>
      </rPr>
      <t>h</t>
    </r>
    <r>
      <rPr>
        <sz val="8"/>
        <rFont val="Arial"/>
        <family val="2"/>
      </rPr>
      <t xml:space="preserve"> ≤</t>
    </r>
  </si>
  <si>
    <t>Instructions (i1Profiler)</t>
  </si>
  <si>
    <t>• Launch i1Profiler</t>
  </si>
  <si>
    <t>• Select the 'Advanced' radio button</t>
  </si>
  <si>
    <t>• Select 'Measure Reference Chart' from the 'Workflow Selector'</t>
  </si>
  <si>
    <t>• Put the Workflow (.rwxf) file(s) you intend to use in the folder that appeared from the previous step</t>
  </si>
  <si>
    <t>• Launch i1Profiler if it isn't already running</t>
  </si>
  <si>
    <t>• Double-click a 'Saved Workflow' you installed during the Initial Installation from the 'Assets' list</t>
  </si>
  <si>
    <t>• Make sure your instrument is connected and choose the 'Measurement Mode'</t>
  </si>
  <si>
    <t>• Click 'Calibrate' and follow the instructions to measure the chart</t>
  </si>
  <si>
    <t>• Click 'Save' to save the measurement data</t>
  </si>
  <si>
    <t>• Select 'i1Profiler CGATS Custom' as the file type where you want it saved</t>
  </si>
  <si>
    <t>• Enter an appropriate name for the measurement data file and click 'Save'</t>
  </si>
  <si>
    <t>• Select only the L*a*b* checkbox and click 'OK'</t>
  </si>
  <si>
    <t>• Open the saved .txt data file from Step 1 in Excel</t>
  </si>
  <si>
    <t>• Select the Lab data in the .txt file and copy it</t>
  </si>
  <si>
    <t>• Select the 'Pass-Fail' worksheet (tab) at the bottom of the Proof Verifier spreadsheet</t>
  </si>
  <si>
    <t>• Paste the copied data into upper left cell where it says, 'Paste measured values'</t>
  </si>
  <si>
    <t>• Select the 'Strip Format' 2009 or 2013</t>
  </si>
  <si>
    <t>• The 'Use SCCA' caculates new 'Reference Data' based on the measured paper value</t>
  </si>
  <si>
    <t>2-Row</t>
  </si>
  <si>
    <t>3-Row</t>
  </si>
  <si>
    <t>2-Row (2009)</t>
  </si>
  <si>
    <t>3-Row (2013)</t>
  </si>
  <si>
    <t>Measurement Mode</t>
  </si>
  <si>
    <t>M1 - SCCA OFF</t>
  </si>
  <si>
    <t>M1 - SCCA ON</t>
  </si>
  <si>
    <t>M0 - SCCA ON</t>
  </si>
  <si>
    <t>Absolute Lab reference Data</t>
  </si>
  <si>
    <r>
      <rPr>
        <b/>
        <sz val="10"/>
        <rFont val="Arial"/>
      </rPr>
      <t>Target Types:</t>
    </r>
  </si>
  <si>
    <t>IDEAlliance ISO 12647-7 Digital Control Strip 2009</t>
  </si>
  <si>
    <t>IDEAlliance ISO 12647-7 Control Wedge 2013</t>
  </si>
  <si>
    <r>
      <t>∆C</t>
    </r>
    <r>
      <rPr>
        <b/>
        <sz val="6"/>
        <rFont val="Arial"/>
        <family val="2"/>
      </rPr>
      <t>h</t>
    </r>
  </si>
  <si>
    <t>400CMYK XYZ Black Patches</t>
  </si>
  <si>
    <t>Use black XYZ from either:</t>
  </si>
  <si>
    <t>Selected Colorbar Ref</t>
  </si>
  <si>
    <t>CMYK Dataset Ref</t>
  </si>
  <si>
    <t>NOTE: This is the 400% CMYK falue from the data set</t>
  </si>
  <si>
    <t>NOTE: This will change, depending on use of 2-3Tier bar</t>
  </si>
  <si>
    <t>&lt;-Select</t>
  </si>
  <si>
    <t>HEATSET NEWS (CGATS21 CRPC2)</t>
  </si>
  <si>
    <t>M0 - SCCA OFF</t>
  </si>
  <si>
    <t>∆E</t>
  </si>
  <si>
    <t>cmc 1:1</t>
  </si>
  <si>
    <t>cmc 2:1</t>
  </si>
  <si>
    <t>Reference paper white</t>
  </si>
  <si>
    <t>Measured paper white</t>
  </si>
  <si>
    <t>Authors:  G. Andrews, B. Bayne, M. Levine, M. Strickler</t>
  </si>
  <si>
    <t>• Right-click anywhere in the 'Assets' pane and select 'Show in Finder' (Open Containing Folder in Windows)</t>
  </si>
  <si>
    <t>• Click the 'Refresh Assets' (circular arrow) button at the top of the Assets pane</t>
  </si>
  <si>
    <t>Contract Proof Verification Worksheet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</si>
</sst>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
  </numFmts>
  <fonts count="30" x14ac:knownFonts="1">
    <font>
      <sz val="10"/>
      <name val="Arial"/>
    </font>
    <font>
      <b/>
      <sz val="10"/>
      <name val="Arial"/>
    </font>
    <font>
      <sz val="10"/>
      <color indexed="8"/>
      <name val="Arial"/>
    </font>
    <font>
      <sz val="10"/>
      <name val="Helvetica"/>
    </font>
    <font>
      <b/>
      <sz val="24"/>
      <name val="Arial"/>
      <family val="2"/>
    </font>
    <font>
      <sz val="10"/>
      <name val="Arial"/>
    </font>
    <font>
      <b/>
      <sz val="10"/>
      <name val="Arial"/>
    </font>
    <font>
      <sz val="8"/>
      <name val="Arial"/>
      <family val="2"/>
    </font>
    <font>
      <b/>
      <sz val="12"/>
      <name val="Wingdings 2"/>
      <family val="1"/>
    </font>
    <font>
      <b/>
      <sz val="18"/>
      <name val="Arial"/>
      <family val="2"/>
    </font>
    <font>
      <b/>
      <sz val="14"/>
      <name val="Arial"/>
      <family val="2"/>
    </font>
    <font>
      <b/>
      <sz val="6"/>
      <name val="Arial"/>
      <family val="2"/>
    </font>
    <font>
      <sz val="40"/>
      <name val="Wingdings 2"/>
      <family val="1"/>
    </font>
    <font>
      <sz val="6"/>
      <name val="Arial"/>
      <family val="2"/>
    </font>
    <font>
      <sz val="6.5"/>
      <name val="Arial"/>
      <family val="2"/>
    </font>
    <font>
      <sz val="10"/>
      <name val="Verdana"/>
    </font>
    <font>
      <vertAlign val="subscript"/>
      <sz val="10"/>
      <color indexed="8"/>
      <name val="Arial"/>
    </font>
    <font>
      <vertAlign val="subscript"/>
      <sz val="10"/>
      <name val="Arial"/>
    </font>
    <font>
      <i/>
      <sz val="10"/>
      <name val="Arial"/>
    </font>
    <font>
      <sz val="10"/>
      <color theme="1"/>
      <name val="Arial"/>
      <family val="2"/>
    </font>
    <font>
      <b/>
      <sz val="10"/>
      <color theme="1"/>
      <name val="Arial"/>
    </font>
    <font>
      <b/>
      <sz val="18"/>
      <color theme="1"/>
      <name val="Arial"/>
    </font>
    <font>
      <sz val="10"/>
      <color rgb="FF000000"/>
      <name val="Arial"/>
    </font>
    <font>
      <u/>
      <sz val="10"/>
      <color theme="10"/>
      <name val="Arial"/>
    </font>
    <font>
      <u/>
      <sz val="10"/>
      <color theme="11"/>
      <name val="Arial"/>
    </font>
    <font>
      <sz val="9"/>
      <name val="Arial"/>
    </font>
    <font>
      <sz val="72"/>
      <name val="Wingdings 2"/>
      <family val="1"/>
    </font>
    <font>
      <b/>
      <sz val="7"/>
      <name val="Arial"/>
    </font>
    <font>
      <sz val="28"/>
      <name val="Arial"/>
      <family val="2"/>
    </font>
    <font>
      <b/>
      <sz val="10"/>
      <color theme="1"/>
      <name val="Arial"/>
      <family val="2"/>
    </font>
  </fonts>
  <fills count="11">
    <fill>
      <patternFill patternType="none"/>
    </fill>
    <fill>
      <patternFill patternType="gray125"/>
    </fill>
    <fill>
      <patternFill patternType="solid">
        <fgColor indexed="43"/>
        <bgColor indexed="64"/>
      </patternFill>
    </fill>
    <fill>
      <patternFill patternType="solid">
        <fgColor indexed="55"/>
        <bgColor indexed="64"/>
      </patternFill>
    </fill>
    <fill>
      <patternFill patternType="solid">
        <fgColor indexed="29"/>
        <bgColor indexed="64"/>
      </patternFill>
    </fill>
    <fill>
      <patternFill patternType="solid">
        <fgColor indexed="42"/>
        <bgColor indexed="64"/>
      </patternFill>
    </fill>
    <fill>
      <patternFill patternType="solid">
        <fgColor indexed="24"/>
        <bgColor indexed="64"/>
      </patternFill>
    </fill>
    <fill>
      <patternFill patternType="solid">
        <fgColor indexed="22"/>
        <bgColor indexed="64"/>
      </patternFill>
    </fill>
    <fill>
      <patternFill patternType="solid">
        <fgColor indexed="23"/>
        <bgColor indexed="64"/>
      </patternFill>
    </fill>
    <fill>
      <patternFill patternType="solid">
        <fgColor indexed="44"/>
        <bgColor indexed="64"/>
      </patternFill>
    </fill>
    <fill>
      <patternFill patternType="solid">
        <fgColor indexed="45"/>
        <bgColor indexed="64"/>
      </patternFill>
    </fill>
  </fills>
  <borders count="38">
    <border>
      <left/>
      <right/>
      <top/>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ck">
        <color auto="1"/>
      </left>
      <right/>
      <top/>
      <bottom/>
      <diagonal/>
    </border>
    <border>
      <left/>
      <right/>
      <top style="thick">
        <color auto="1"/>
      </top>
      <bottom style="thick">
        <color auto="1"/>
      </bottom>
      <diagonal/>
    </border>
    <border>
      <left/>
      <right style="thick">
        <color auto="1"/>
      </right>
      <top style="thick">
        <color auto="1"/>
      </top>
      <bottom style="thick">
        <color auto="1"/>
      </bottom>
      <diagonal/>
    </border>
    <border>
      <left style="thin">
        <color auto="1"/>
      </left>
      <right/>
      <top/>
      <bottom style="thick">
        <color auto="1"/>
      </bottom>
      <diagonal/>
    </border>
    <border>
      <left style="thin">
        <color auto="1"/>
      </left>
      <right/>
      <top style="thick">
        <color auto="1"/>
      </top>
      <bottom/>
      <diagonal/>
    </border>
    <border>
      <left style="thin">
        <color auto="1"/>
      </left>
      <right/>
      <top/>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right style="thin">
        <color auto="1"/>
      </right>
      <top/>
      <bottom style="thick">
        <color auto="1"/>
      </bottom>
      <diagonal/>
    </border>
    <border>
      <left/>
      <right style="thin">
        <color auto="1"/>
      </right>
      <top style="thick">
        <color auto="1"/>
      </top>
      <bottom/>
      <diagonal/>
    </border>
    <border>
      <left style="thick">
        <color auto="1"/>
      </left>
      <right/>
      <top style="thick">
        <color auto="1"/>
      </top>
      <bottom style="thick">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599">
    <xf numFmtId="0" fontId="0" fillId="0" borderId="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cellStyleXfs>
  <cellXfs count="394">
    <xf numFmtId="0" fontId="0" fillId="0" borderId="0" xfId="0"/>
    <xf numFmtId="0" fontId="5" fillId="0" borderId="0" xfId="0" applyFont="1"/>
    <xf numFmtId="0" fontId="10" fillId="0" borderId="0" xfId="0" applyFont="1"/>
    <xf numFmtId="0" fontId="1" fillId="0" borderId="0" xfId="0" applyFont="1"/>
    <xf numFmtId="0" fontId="0" fillId="0" borderId="0" xfId="0" applyAlignment="1">
      <alignment horizontal="left"/>
    </xf>
    <xf numFmtId="0" fontId="5" fillId="0" borderId="0" xfId="0" applyFont="1" applyAlignment="1">
      <alignment horizontal="left"/>
    </xf>
    <xf numFmtId="0" fontId="0" fillId="0" borderId="0" xfId="0" applyProtection="1">
      <protection hidden="1"/>
    </xf>
    <xf numFmtId="0" fontId="5" fillId="0" borderId="0" xfId="0" applyFont="1" applyProtection="1">
      <protection hidden="1"/>
    </xf>
    <xf numFmtId="0" fontId="8" fillId="0" borderId="0" xfId="0" applyFont="1" applyBorder="1" applyAlignment="1" applyProtection="1">
      <alignment horizontal="left" vertical="center"/>
      <protection hidden="1"/>
    </xf>
    <xf numFmtId="0" fontId="0" fillId="0" borderId="0" xfId="0" applyBorder="1" applyProtection="1">
      <protection hidden="1"/>
    </xf>
    <xf numFmtId="0" fontId="14" fillId="0" borderId="0" xfId="0" applyFont="1" applyBorder="1" applyAlignment="1" applyProtection="1">
      <alignment vertical="top"/>
      <protection hidden="1"/>
    </xf>
    <xf numFmtId="0" fontId="13" fillId="0" borderId="0" xfId="0" applyFont="1" applyBorder="1" applyAlignment="1" applyProtection="1">
      <alignment vertical="top" wrapText="1"/>
      <protection hidden="1"/>
    </xf>
    <xf numFmtId="0" fontId="0" fillId="0" borderId="5" xfId="0" applyBorder="1" applyProtection="1">
      <protection hidden="1"/>
    </xf>
    <xf numFmtId="0" fontId="0" fillId="0" borderId="6" xfId="0" applyBorder="1" applyProtection="1">
      <protection hidden="1"/>
    </xf>
    <xf numFmtId="0" fontId="7" fillId="0" borderId="6" xfId="0" applyFont="1" applyBorder="1" applyProtection="1">
      <protection hidden="1"/>
    </xf>
    <xf numFmtId="0" fontId="6" fillId="0" borderId="0" xfId="0" applyFont="1" applyAlignment="1" applyProtection="1">
      <alignment vertical="center"/>
      <protection hidden="1"/>
    </xf>
    <xf numFmtId="0" fontId="1" fillId="0" borderId="0" xfId="0" applyFont="1" applyAlignment="1" applyProtection="1">
      <alignment horizontal="left" vertical="center"/>
      <protection hidden="1"/>
    </xf>
    <xf numFmtId="0" fontId="1" fillId="0" borderId="0" xfId="0" applyFont="1" applyFill="1" applyAlignment="1" applyProtection="1">
      <alignment horizontal="center" vertical="center"/>
      <protection hidden="1"/>
    </xf>
    <xf numFmtId="0" fontId="1" fillId="0" borderId="0" xfId="0" applyFont="1" applyAlignment="1" applyProtection="1">
      <alignment horizontal="center" vertical="center"/>
      <protection hidden="1"/>
    </xf>
    <xf numFmtId="0" fontId="0" fillId="0" borderId="0" xfId="0" applyNumberFormat="1" applyAlignment="1" applyProtection="1">
      <alignment horizontal="center"/>
      <protection hidden="1"/>
    </xf>
    <xf numFmtId="0" fontId="5" fillId="0" borderId="0" xfId="0" quotePrefix="1" applyNumberFormat="1" applyFont="1" applyAlignment="1" applyProtection="1">
      <alignment horizontal="center"/>
      <protection hidden="1"/>
    </xf>
    <xf numFmtId="2" fontId="5" fillId="0" borderId="0" xfId="0" quotePrefix="1" applyNumberFormat="1" applyFont="1" applyBorder="1" applyAlignment="1" applyProtection="1">
      <alignment horizontal="right" indent="2"/>
      <protection hidden="1"/>
    </xf>
    <xf numFmtId="0" fontId="3" fillId="0" borderId="0" xfId="0" applyNumberFormat="1" applyFont="1" applyFill="1" applyBorder="1" applyAlignment="1" applyProtection="1">
      <alignment horizontal="center"/>
      <protection hidden="1"/>
    </xf>
    <xf numFmtId="2" fontId="5" fillId="0" borderId="0" xfId="0" applyNumberFormat="1" applyFont="1" applyAlignment="1" applyProtection="1">
      <alignment horizontal="center"/>
      <protection hidden="1"/>
    </xf>
    <xf numFmtId="0" fontId="5" fillId="0" borderId="0" xfId="0" applyFont="1" applyAlignment="1" applyProtection="1">
      <alignment wrapText="1"/>
      <protection hidden="1"/>
    </xf>
    <xf numFmtId="0" fontId="1" fillId="0" borderId="0" xfId="0" applyFont="1" applyBorder="1" applyAlignment="1" applyProtection="1">
      <alignment horizontal="center" vertical="center"/>
      <protection hidden="1"/>
    </xf>
    <xf numFmtId="0" fontId="0" fillId="0" borderId="0" xfId="0" applyAlignment="1" applyProtection="1">
      <alignment vertical="center"/>
      <protection hidden="1"/>
    </xf>
    <xf numFmtId="0" fontId="5" fillId="0" borderId="0" xfId="0" applyFont="1" applyAlignment="1" applyProtection="1">
      <alignment vertical="center"/>
      <protection hidden="1"/>
    </xf>
    <xf numFmtId="0" fontId="1" fillId="2" borderId="9" xfId="0" applyFont="1" applyFill="1" applyBorder="1" applyAlignment="1" applyProtection="1">
      <alignment horizontal="center" vertical="center"/>
      <protection hidden="1"/>
    </xf>
    <xf numFmtId="0" fontId="1" fillId="3" borderId="9" xfId="0" applyFont="1" applyFill="1" applyBorder="1" applyAlignment="1" applyProtection="1">
      <alignment horizontal="center" vertical="center"/>
      <protection hidden="1"/>
    </xf>
    <xf numFmtId="0" fontId="1" fillId="4" borderId="9" xfId="0" applyFont="1" applyFill="1" applyBorder="1" applyAlignment="1" applyProtection="1">
      <alignment horizontal="center" vertical="center"/>
      <protection hidden="1"/>
    </xf>
    <xf numFmtId="0" fontId="1" fillId="5" borderId="9" xfId="0" applyFont="1" applyFill="1" applyBorder="1" applyAlignment="1" applyProtection="1">
      <alignment horizontal="center" vertical="center"/>
      <protection hidden="1"/>
    </xf>
    <xf numFmtId="0" fontId="1" fillId="6" borderId="9" xfId="0" applyFont="1" applyFill="1" applyBorder="1" applyAlignment="1" applyProtection="1">
      <alignment horizontal="center" vertical="center"/>
      <protection hidden="1"/>
    </xf>
    <xf numFmtId="0" fontId="1" fillId="7" borderId="9" xfId="0" applyFont="1" applyFill="1" applyBorder="1" applyAlignment="1" applyProtection="1">
      <alignment horizontal="center" vertical="center"/>
      <protection hidden="1"/>
    </xf>
    <xf numFmtId="0" fontId="1" fillId="8" borderId="10" xfId="0" applyFont="1" applyFill="1" applyBorder="1" applyAlignment="1" applyProtection="1">
      <alignment horizontal="center" vertical="center"/>
      <protection hidden="1"/>
    </xf>
    <xf numFmtId="164" fontId="0" fillId="2" borderId="2" xfId="0" applyNumberFormat="1" applyFill="1" applyBorder="1" applyAlignment="1" applyProtection="1">
      <alignment horizontal="center" vertical="center"/>
      <protection hidden="1"/>
    </xf>
    <xf numFmtId="164" fontId="0" fillId="3" borderId="2" xfId="0" applyNumberFormat="1" applyFill="1" applyBorder="1" applyAlignment="1" applyProtection="1">
      <alignment horizontal="center" vertical="center"/>
      <protection hidden="1"/>
    </xf>
    <xf numFmtId="164" fontId="0" fillId="4" borderId="2" xfId="0" applyNumberFormat="1" applyFill="1" applyBorder="1" applyAlignment="1" applyProtection="1">
      <alignment horizontal="center" vertical="center"/>
      <protection hidden="1"/>
    </xf>
    <xf numFmtId="164" fontId="0" fillId="5" borderId="2" xfId="0" applyNumberFormat="1" applyFill="1" applyBorder="1" applyAlignment="1" applyProtection="1">
      <alignment horizontal="center" vertical="center"/>
      <protection hidden="1"/>
    </xf>
    <xf numFmtId="164" fontId="0" fillId="6" borderId="2" xfId="0" applyNumberFormat="1" applyFill="1" applyBorder="1" applyAlignment="1" applyProtection="1">
      <alignment horizontal="center" vertical="center"/>
      <protection hidden="1"/>
    </xf>
    <xf numFmtId="164" fontId="0" fillId="7" borderId="2" xfId="0" applyNumberFormat="1" applyFill="1" applyBorder="1" applyAlignment="1" applyProtection="1">
      <alignment horizontal="center" vertical="center"/>
      <protection hidden="1"/>
    </xf>
    <xf numFmtId="164" fontId="0" fillId="8" borderId="3" xfId="0" applyNumberFormat="1" applyFill="1" applyBorder="1" applyAlignment="1" applyProtection="1">
      <alignment horizontal="center" vertical="center"/>
      <protection hidden="1"/>
    </xf>
    <xf numFmtId="164" fontId="0" fillId="2" borderId="0" xfId="0" applyNumberFormat="1" applyFill="1" applyBorder="1" applyAlignment="1" applyProtection="1">
      <alignment horizontal="center" vertical="center"/>
      <protection hidden="1"/>
    </xf>
    <xf numFmtId="164" fontId="0" fillId="4" borderId="0" xfId="0" applyNumberFormat="1" applyFill="1" applyBorder="1" applyAlignment="1" applyProtection="1">
      <alignment horizontal="center" vertical="center"/>
      <protection hidden="1"/>
    </xf>
    <xf numFmtId="164" fontId="0" fillId="5" borderId="0" xfId="0" applyNumberFormat="1" applyFill="1" applyBorder="1" applyAlignment="1" applyProtection="1">
      <alignment horizontal="center" vertical="center"/>
      <protection hidden="1"/>
    </xf>
    <xf numFmtId="164" fontId="0" fillId="6" borderId="0" xfId="0" applyNumberFormat="1" applyFill="1" applyBorder="1" applyAlignment="1" applyProtection="1">
      <alignment horizontal="center" vertical="center"/>
      <protection hidden="1"/>
    </xf>
    <xf numFmtId="0" fontId="5" fillId="7" borderId="0" xfId="0" applyFont="1" applyFill="1" applyBorder="1" applyAlignment="1" applyProtection="1">
      <alignment horizontal="center" vertical="center"/>
      <protection hidden="1"/>
    </xf>
    <xf numFmtId="0" fontId="5" fillId="3" borderId="0" xfId="0" applyFont="1" applyFill="1" applyBorder="1" applyAlignment="1" applyProtection="1">
      <alignment horizontal="center" vertical="center"/>
      <protection hidden="1"/>
    </xf>
    <xf numFmtId="0" fontId="5" fillId="8" borderId="4" xfId="0" applyFont="1" applyFill="1" applyBorder="1" applyAlignment="1" applyProtection="1">
      <alignment horizontal="center" vertical="center"/>
      <protection hidden="1"/>
    </xf>
    <xf numFmtId="0" fontId="5" fillId="2" borderId="0" xfId="0" applyFont="1" applyFill="1" applyBorder="1" applyAlignment="1" applyProtection="1">
      <alignment horizontal="center" vertical="center"/>
      <protection hidden="1"/>
    </xf>
    <xf numFmtId="0" fontId="5" fillId="4" borderId="0" xfId="0" applyFont="1" applyFill="1" applyBorder="1" applyAlignment="1" applyProtection="1">
      <alignment horizontal="center" vertical="center"/>
      <protection hidden="1"/>
    </xf>
    <xf numFmtId="0" fontId="5" fillId="5" borderId="0" xfId="0" applyFont="1" applyFill="1" applyBorder="1" applyAlignment="1" applyProtection="1">
      <alignment horizontal="center" vertical="center"/>
      <protection hidden="1"/>
    </xf>
    <xf numFmtId="0" fontId="5" fillId="6" borderId="0" xfId="0" applyFont="1" applyFill="1" applyBorder="1" applyAlignment="1" applyProtection="1">
      <alignment horizontal="center" vertical="center"/>
      <protection hidden="1"/>
    </xf>
    <xf numFmtId="164" fontId="0" fillId="7" borderId="0" xfId="0" applyNumberFormat="1" applyFill="1" applyBorder="1" applyAlignment="1" applyProtection="1">
      <alignment horizontal="center" vertical="center"/>
      <protection hidden="1"/>
    </xf>
    <xf numFmtId="164" fontId="0" fillId="3" borderId="0" xfId="0" applyNumberFormat="1" applyFill="1" applyBorder="1" applyAlignment="1" applyProtection="1">
      <alignment horizontal="center" vertical="center"/>
      <protection hidden="1"/>
    </xf>
    <xf numFmtId="164" fontId="0" fillId="8" borderId="4" xfId="0" applyNumberFormat="1" applyFill="1" applyBorder="1" applyAlignment="1" applyProtection="1">
      <alignment horizontal="center" vertical="center"/>
      <protection hidden="1"/>
    </xf>
    <xf numFmtId="0" fontId="5" fillId="2" borderId="6"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5" borderId="6" xfId="0" applyFont="1" applyFill="1" applyBorder="1" applyAlignment="1" applyProtection="1">
      <alignment horizontal="center" vertical="center"/>
      <protection hidden="1"/>
    </xf>
    <xf numFmtId="0" fontId="5" fillId="6" borderId="6" xfId="0" applyFont="1" applyFill="1" applyBorder="1" applyAlignment="1" applyProtection="1">
      <alignment horizontal="center" vertical="center"/>
      <protection hidden="1"/>
    </xf>
    <xf numFmtId="164" fontId="0" fillId="7" borderId="6" xfId="0" applyNumberFormat="1" applyFill="1" applyBorder="1" applyAlignment="1" applyProtection="1">
      <alignment horizontal="center" vertical="center"/>
      <protection hidden="1"/>
    </xf>
    <xf numFmtId="164" fontId="0" fillId="3" borderId="6" xfId="0" applyNumberFormat="1" applyFill="1" applyBorder="1" applyAlignment="1" applyProtection="1">
      <alignment horizontal="center" vertical="center"/>
      <protection hidden="1"/>
    </xf>
    <xf numFmtId="164" fontId="0" fillId="8" borderId="7" xfId="0" applyNumberFormat="1" applyFill="1" applyBorder="1" applyAlignment="1" applyProtection="1">
      <alignment horizontal="center" vertical="center"/>
      <protection hidden="1"/>
    </xf>
    <xf numFmtId="0" fontId="1" fillId="0" borderId="0" xfId="0" applyFont="1" applyFill="1" applyBorder="1" applyAlignment="1" applyProtection="1">
      <alignment horizontal="left" vertical="center"/>
      <protection hidden="1"/>
    </xf>
    <xf numFmtId="0" fontId="19" fillId="0" borderId="0" xfId="0" applyFont="1" applyProtection="1">
      <protection hidden="1"/>
    </xf>
    <xf numFmtId="0" fontId="19" fillId="0" borderId="0" xfId="0" applyFont="1" applyAlignment="1" applyProtection="1">
      <alignment horizontal="center" vertical="center"/>
      <protection hidden="1"/>
    </xf>
    <xf numFmtId="0" fontId="19" fillId="0" borderId="0" xfId="0" applyFont="1" applyBorder="1" applyProtection="1">
      <protection hidden="1"/>
    </xf>
    <xf numFmtId="0" fontId="19" fillId="0" borderId="0" xfId="0" applyNumberFormat="1" applyFont="1" applyProtection="1">
      <protection hidden="1"/>
    </xf>
    <xf numFmtId="0" fontId="20" fillId="0" borderId="0" xfId="0" applyNumberFormat="1" applyFont="1" applyProtection="1">
      <protection hidden="1"/>
    </xf>
    <xf numFmtId="0" fontId="1" fillId="0" borderId="0" xfId="0" applyNumberFormat="1" applyFont="1" applyProtection="1">
      <protection hidden="1"/>
    </xf>
    <xf numFmtId="0" fontId="0" fillId="0" borderId="0" xfId="0" applyNumberFormat="1" applyProtection="1">
      <protection hidden="1"/>
    </xf>
    <xf numFmtId="0" fontId="0" fillId="0" borderId="8" xfId="0" applyBorder="1" applyProtection="1">
      <protection hidden="1"/>
    </xf>
    <xf numFmtId="0" fontId="1" fillId="0" borderId="8" xfId="0" applyFont="1" applyBorder="1" applyProtection="1">
      <protection hidden="1"/>
    </xf>
    <xf numFmtId="164" fontId="7" fillId="0" borderId="16" xfId="0" applyNumberFormat="1" applyFont="1" applyBorder="1" applyAlignment="1" applyProtection="1">
      <alignment horizontal="center" vertical="center"/>
      <protection hidden="1"/>
    </xf>
    <xf numFmtId="164" fontId="6" fillId="0" borderId="17" xfId="0" applyNumberFormat="1" applyFont="1" applyBorder="1" applyAlignment="1" applyProtection="1">
      <alignment horizontal="center" vertical="center"/>
      <protection hidden="1"/>
    </xf>
    <xf numFmtId="164" fontId="7" fillId="0" borderId="18" xfId="0" applyNumberFormat="1" applyFont="1" applyBorder="1" applyAlignment="1" applyProtection="1">
      <alignment horizontal="center" vertical="center"/>
      <protection hidden="1"/>
    </xf>
    <xf numFmtId="164" fontId="6" fillId="0" borderId="19" xfId="0" applyNumberFormat="1" applyFont="1" applyBorder="1" applyAlignment="1" applyProtection="1">
      <alignment horizontal="center" vertical="center"/>
      <protection hidden="1"/>
    </xf>
    <xf numFmtId="165" fontId="19" fillId="0" borderId="0" xfId="0" applyNumberFormat="1" applyFont="1" applyProtection="1">
      <protection hidden="1"/>
    </xf>
    <xf numFmtId="165" fontId="20" fillId="0" borderId="0" xfId="0" applyNumberFormat="1" applyFont="1" applyProtection="1">
      <protection hidden="1"/>
    </xf>
    <xf numFmtId="0" fontId="0" fillId="0" borderId="0" xfId="0" applyFont="1"/>
    <xf numFmtId="0" fontId="5" fillId="0" borderId="0" xfId="0" applyNumberFormat="1" applyFont="1" applyProtection="1">
      <protection hidden="1"/>
    </xf>
    <xf numFmtId="0" fontId="9" fillId="0" borderId="0" xfId="0" applyNumberFormat="1" applyFont="1" applyAlignment="1" applyProtection="1">
      <alignment vertical="top"/>
      <protection hidden="1"/>
    </xf>
    <xf numFmtId="0" fontId="1" fillId="0" borderId="0" xfId="0" applyNumberFormat="1" applyFont="1" applyAlignment="1" applyProtection="1">
      <alignment horizontal="left" vertical="center"/>
      <protection hidden="1"/>
    </xf>
    <xf numFmtId="0" fontId="6" fillId="0" borderId="0" xfId="0" applyNumberFormat="1" applyFont="1" applyAlignment="1" applyProtection="1">
      <alignment horizontal="left" vertical="center"/>
      <protection hidden="1"/>
    </xf>
    <xf numFmtId="0" fontId="0" fillId="0" borderId="0" xfId="0" applyNumberFormat="1" applyAlignment="1" applyProtection="1">
      <alignment vertical="center"/>
      <protection hidden="1"/>
    </xf>
    <xf numFmtId="0" fontId="5" fillId="0" borderId="0" xfId="0" applyNumberFormat="1" applyFont="1" applyAlignment="1" applyProtection="1">
      <alignment horizontal="left" vertical="center"/>
      <protection hidden="1"/>
    </xf>
    <xf numFmtId="0" fontId="5" fillId="0" borderId="0" xfId="0" applyNumberFormat="1" applyFont="1" applyAlignment="1" applyProtection="1">
      <alignment vertical="center"/>
      <protection hidden="1"/>
    </xf>
    <xf numFmtId="0" fontId="10" fillId="0" borderId="0" xfId="0" applyNumberFormat="1" applyFont="1" applyAlignment="1" applyProtection="1">
      <alignment vertical="center"/>
      <protection hidden="1"/>
    </xf>
    <xf numFmtId="0" fontId="1" fillId="0" borderId="0" xfId="0" applyNumberFormat="1" applyFont="1" applyAlignment="1" applyProtection="1">
      <alignment vertical="center"/>
      <protection hidden="1"/>
    </xf>
    <xf numFmtId="0" fontId="21" fillId="0" borderId="0" xfId="0" applyNumberFormat="1" applyFont="1" applyAlignment="1" applyProtection="1">
      <alignment horizontal="left" vertical="center"/>
      <protection hidden="1"/>
    </xf>
    <xf numFmtId="0" fontId="4" fillId="0" borderId="0" xfId="0" applyNumberFormat="1" applyFont="1" applyProtection="1">
      <protection hidden="1"/>
    </xf>
    <xf numFmtId="0" fontId="6" fillId="0" borderId="0" xfId="0" applyFont="1" applyAlignment="1" applyProtection="1">
      <alignment horizontal="left" vertical="center"/>
      <protection hidden="1"/>
    </xf>
    <xf numFmtId="0" fontId="1" fillId="0" borderId="0" xfId="0" applyFont="1" applyAlignment="1" applyProtection="1">
      <alignment horizontal="left"/>
      <protection hidden="1"/>
    </xf>
    <xf numFmtId="0" fontId="1" fillId="0" borderId="0" xfId="0" applyFont="1" applyAlignment="1" applyProtection="1">
      <protection hidden="1"/>
    </xf>
    <xf numFmtId="0" fontId="19" fillId="0" borderId="0" xfId="0" applyFont="1" applyAlignment="1" applyProtection="1">
      <protection hidden="1"/>
    </xf>
    <xf numFmtId="2" fontId="0" fillId="0" borderId="0" xfId="0" applyNumberFormat="1" applyBorder="1" applyAlignment="1" applyProtection="1">
      <alignment horizontal="center"/>
      <protection hidden="1"/>
    </xf>
    <xf numFmtId="164" fontId="7" fillId="0" borderId="16" xfId="0" applyNumberFormat="1" applyFont="1" applyBorder="1" applyAlignment="1" applyProtection="1">
      <alignment horizontal="center"/>
      <protection hidden="1"/>
    </xf>
    <xf numFmtId="164" fontId="6" fillId="0" borderId="17" xfId="0" applyNumberFormat="1" applyFont="1" applyBorder="1" applyAlignment="1" applyProtection="1">
      <alignment horizontal="center"/>
      <protection hidden="1"/>
    </xf>
    <xf numFmtId="164" fontId="7" fillId="0" borderId="0" xfId="0" applyNumberFormat="1" applyFont="1" applyBorder="1" applyAlignment="1" applyProtection="1">
      <alignment horizontal="center"/>
      <protection hidden="1"/>
    </xf>
    <xf numFmtId="164" fontId="6" fillId="0" borderId="20" xfId="0" applyNumberFormat="1" applyFont="1" applyBorder="1" applyAlignment="1" applyProtection="1">
      <alignment horizontal="center"/>
      <protection hidden="1"/>
    </xf>
    <xf numFmtId="2" fontId="0" fillId="0" borderId="22" xfId="0" applyNumberFormat="1" applyBorder="1" applyAlignment="1" applyProtection="1">
      <alignment horizontal="center"/>
      <protection hidden="1"/>
    </xf>
    <xf numFmtId="2" fontId="0" fillId="0" borderId="26" xfId="0" applyNumberFormat="1" applyBorder="1" applyAlignment="1" applyProtection="1">
      <alignment horizontal="center"/>
      <protection hidden="1"/>
    </xf>
    <xf numFmtId="2" fontId="5" fillId="0" borderId="23" xfId="0" applyNumberFormat="1" applyFont="1" applyBorder="1" applyAlignment="1" applyProtection="1">
      <alignment horizontal="center"/>
      <protection hidden="1"/>
    </xf>
    <xf numFmtId="2" fontId="5" fillId="0" borderId="25" xfId="0" applyNumberFormat="1" applyFont="1" applyBorder="1" applyAlignment="1" applyProtection="1">
      <alignment horizontal="center"/>
      <protection hidden="1"/>
    </xf>
    <xf numFmtId="0" fontId="6" fillId="0" borderId="0" xfId="0" applyFont="1" applyBorder="1" applyAlignment="1" applyProtection="1">
      <alignment horizontal="left" vertical="center" wrapText="1"/>
      <protection hidden="1"/>
    </xf>
    <xf numFmtId="0" fontId="0" fillId="0" borderId="0" xfId="0" applyFont="1" applyAlignment="1">
      <alignment horizontal="left"/>
    </xf>
    <xf numFmtId="2" fontId="0" fillId="0" borderId="0" xfId="0" applyNumberFormat="1" applyBorder="1" applyProtection="1">
      <protection hidden="1"/>
    </xf>
    <xf numFmtId="165" fontId="0" fillId="0" borderId="0" xfId="0" applyNumberFormat="1" applyFill="1" applyBorder="1" applyProtection="1">
      <protection hidden="1"/>
    </xf>
    <xf numFmtId="165" fontId="19" fillId="0" borderId="0" xfId="0" applyNumberFormat="1" applyFont="1" applyFill="1" applyBorder="1" applyProtection="1">
      <protection hidden="1"/>
    </xf>
    <xf numFmtId="165" fontId="19" fillId="0" borderId="0" xfId="0" applyNumberFormat="1" applyFont="1" applyFill="1" applyBorder="1" applyAlignment="1" applyProtection="1">
      <alignment horizontal="left"/>
      <protection hidden="1"/>
    </xf>
    <xf numFmtId="165" fontId="0" fillId="0" borderId="0" xfId="0" applyNumberFormat="1" applyFill="1" applyBorder="1" applyAlignment="1" applyProtection="1">
      <alignment horizontal="left" vertical="top"/>
      <protection hidden="1"/>
    </xf>
    <xf numFmtId="165" fontId="5" fillId="0" borderId="0" xfId="0" applyNumberFormat="1" applyFont="1" applyFill="1" applyBorder="1" applyProtection="1">
      <protection hidden="1"/>
    </xf>
    <xf numFmtId="165" fontId="0" fillId="0" borderId="0" xfId="0" applyNumberFormat="1" applyFill="1" applyBorder="1" applyAlignment="1" applyProtection="1">
      <alignment horizontal="left"/>
      <protection hidden="1"/>
    </xf>
    <xf numFmtId="165" fontId="5" fillId="0" borderId="0" xfId="0" applyNumberFormat="1" applyFont="1" applyFill="1" applyBorder="1" applyAlignment="1" applyProtection="1">
      <alignment horizontal="left"/>
      <protection hidden="1"/>
    </xf>
    <xf numFmtId="165" fontId="20" fillId="0" borderId="0" xfId="0" applyNumberFormat="1" applyFont="1" applyFill="1" applyBorder="1" applyAlignment="1" applyProtection="1">
      <alignment horizontal="left" vertical="top"/>
      <protection hidden="1"/>
    </xf>
    <xf numFmtId="165" fontId="19" fillId="0" borderId="0" xfId="0" applyNumberFormat="1" applyFont="1" applyFill="1" applyBorder="1" applyAlignment="1" applyProtection="1">
      <alignment horizontal="left" vertical="top"/>
      <protection hidden="1"/>
    </xf>
    <xf numFmtId="165" fontId="20" fillId="0" borderId="0" xfId="0" applyNumberFormat="1" applyFont="1" applyFill="1" applyBorder="1" applyAlignment="1" applyProtection="1">
      <alignment horizontal="left"/>
      <protection hidden="1"/>
    </xf>
    <xf numFmtId="165" fontId="1" fillId="0" borderId="0" xfId="0" applyNumberFormat="1" applyFont="1" applyFill="1" applyBorder="1" applyProtection="1">
      <protection hidden="1"/>
    </xf>
    <xf numFmtId="165" fontId="0" fillId="0" borderId="0" xfId="0" applyNumberFormat="1" applyFont="1" applyFill="1" applyBorder="1" applyAlignment="1" applyProtection="1">
      <alignment horizontal="left" vertical="center"/>
      <protection hidden="1"/>
    </xf>
    <xf numFmtId="165" fontId="20" fillId="0" borderId="0" xfId="0" applyNumberFormat="1" applyFont="1" applyFill="1" applyBorder="1" applyAlignment="1" applyProtection="1">
      <alignment horizontal="center"/>
      <protection hidden="1"/>
    </xf>
    <xf numFmtId="165" fontId="0" fillId="0" borderId="0" xfId="0" applyNumberFormat="1" applyFont="1" applyFill="1" applyBorder="1" applyAlignment="1" applyProtection="1">
      <alignment horizontal="left" vertical="top"/>
      <protection hidden="1"/>
    </xf>
    <xf numFmtId="165" fontId="0" fillId="0" borderId="0" xfId="0" applyNumberFormat="1" applyFill="1" applyBorder="1" applyAlignment="1" applyProtection="1">
      <alignment horizontal="center"/>
      <protection hidden="1"/>
    </xf>
    <xf numFmtId="165" fontId="20" fillId="0" borderId="0" xfId="0" applyNumberFormat="1" applyFont="1" applyFill="1" applyBorder="1" applyProtection="1">
      <protection hidden="1"/>
    </xf>
    <xf numFmtId="165" fontId="0" fillId="0" borderId="0" xfId="0" applyNumberFormat="1" applyFont="1" applyFill="1" applyBorder="1" applyAlignment="1" applyProtection="1">
      <alignment vertical="top"/>
      <protection hidden="1"/>
    </xf>
    <xf numFmtId="165" fontId="15" fillId="0" borderId="0" xfId="0" applyNumberFormat="1" applyFont="1" applyFill="1" applyBorder="1" applyAlignment="1" applyProtection="1">
      <alignment horizontal="left"/>
      <protection hidden="1"/>
    </xf>
    <xf numFmtId="165" fontId="0" fillId="0" borderId="0" xfId="0" applyNumberFormat="1" applyFont="1" applyFill="1" applyBorder="1" applyAlignment="1" applyProtection="1">
      <alignment horizontal="left"/>
      <protection hidden="1"/>
    </xf>
    <xf numFmtId="165" fontId="22" fillId="0" borderId="0" xfId="0" applyNumberFormat="1" applyFont="1" applyFill="1" applyBorder="1" applyAlignment="1" applyProtection="1">
      <alignment horizontal="left"/>
      <protection hidden="1"/>
    </xf>
    <xf numFmtId="165" fontId="5" fillId="0" borderId="0" xfId="0" quotePrefix="1" applyNumberFormat="1" applyFont="1" applyFill="1" applyBorder="1" applyAlignment="1" applyProtection="1">
      <alignment horizontal="left" vertical="center"/>
      <protection hidden="1"/>
    </xf>
    <xf numFmtId="165" fontId="17" fillId="0" borderId="0" xfId="0" applyNumberFormat="1" applyFont="1" applyFill="1" applyBorder="1" applyAlignment="1" applyProtection="1">
      <alignment horizontal="left"/>
      <protection hidden="1"/>
    </xf>
    <xf numFmtId="165" fontId="1" fillId="0" borderId="0" xfId="0" applyNumberFormat="1" applyFont="1" applyFill="1" applyBorder="1" applyAlignment="1" applyProtection="1">
      <alignment horizontal="left"/>
      <protection hidden="1"/>
    </xf>
    <xf numFmtId="165" fontId="19" fillId="0" borderId="0" xfId="0" applyNumberFormat="1" applyFont="1" applyFill="1" applyBorder="1" applyAlignment="1" applyProtection="1">
      <alignment horizontal="center"/>
      <protection hidden="1"/>
    </xf>
    <xf numFmtId="165" fontId="19" fillId="0" borderId="0" xfId="0" applyNumberFormat="1" applyFont="1" applyFill="1" applyBorder="1" applyAlignment="1" applyProtection="1">
      <alignment horizontal="center" vertical="center"/>
      <protection hidden="1"/>
    </xf>
    <xf numFmtId="2" fontId="5" fillId="0" borderId="0" xfId="0" applyNumberFormat="1" applyFont="1" applyProtection="1">
      <protection hidden="1"/>
    </xf>
    <xf numFmtId="2" fontId="20" fillId="0" borderId="0" xfId="0" applyNumberFormat="1" applyFont="1" applyProtection="1">
      <protection hidden="1"/>
    </xf>
    <xf numFmtId="2" fontId="19" fillId="0" borderId="0" xfId="0" applyNumberFormat="1" applyFont="1" applyProtection="1">
      <protection hidden="1"/>
    </xf>
    <xf numFmtId="2" fontId="0" fillId="0" borderId="4" xfId="0" applyNumberFormat="1" applyBorder="1" applyProtection="1">
      <protection hidden="1"/>
    </xf>
    <xf numFmtId="2" fontId="12" fillId="0" borderId="4" xfId="0" applyNumberFormat="1" applyFont="1" applyBorder="1" applyAlignment="1" applyProtection="1">
      <alignment horizontal="left" vertical="center"/>
      <protection hidden="1"/>
    </xf>
    <xf numFmtId="2" fontId="12" fillId="0" borderId="0" xfId="0" applyNumberFormat="1" applyFont="1" applyBorder="1" applyAlignment="1" applyProtection="1">
      <alignment horizontal="left" vertical="center"/>
      <protection hidden="1"/>
    </xf>
    <xf numFmtId="2" fontId="13" fillId="0" borderId="4" xfId="0" applyNumberFormat="1" applyFont="1" applyBorder="1" applyAlignment="1" applyProtection="1">
      <alignment vertical="top" wrapText="1"/>
      <protection hidden="1"/>
    </xf>
    <xf numFmtId="2" fontId="13" fillId="0" borderId="0" xfId="0" applyNumberFormat="1" applyFont="1" applyBorder="1" applyAlignment="1" applyProtection="1">
      <alignment vertical="top" wrapText="1"/>
      <protection hidden="1"/>
    </xf>
    <xf numFmtId="2" fontId="7" fillId="0" borderId="4" xfId="0" applyNumberFormat="1" applyFont="1" applyBorder="1" applyAlignment="1" applyProtection="1">
      <alignment horizontal="left" vertical="center" wrapText="1"/>
      <protection hidden="1"/>
    </xf>
    <xf numFmtId="2" fontId="7" fillId="0" borderId="0" xfId="0" applyNumberFormat="1" applyFont="1" applyBorder="1" applyAlignment="1" applyProtection="1">
      <alignment horizontal="left" vertical="center" wrapText="1"/>
      <protection hidden="1"/>
    </xf>
    <xf numFmtId="2" fontId="0" fillId="0" borderId="7" xfId="0" applyNumberFormat="1" applyBorder="1" applyProtection="1">
      <protection hidden="1"/>
    </xf>
    <xf numFmtId="0" fontId="25" fillId="9" borderId="21" xfId="0" applyFont="1" applyFill="1" applyBorder="1" applyAlignment="1" applyProtection="1">
      <alignment horizontal="center"/>
      <protection hidden="1"/>
    </xf>
    <xf numFmtId="0" fontId="25" fillId="10" borderId="22" xfId="0" applyFont="1" applyFill="1" applyBorder="1" applyAlignment="1" applyProtection="1">
      <alignment horizontal="center"/>
      <protection hidden="1"/>
    </xf>
    <xf numFmtId="0" fontId="25" fillId="2" borderId="22" xfId="0" applyFont="1" applyFill="1" applyBorder="1" applyAlignment="1" applyProtection="1">
      <alignment horizontal="center"/>
      <protection hidden="1"/>
    </xf>
    <xf numFmtId="0" fontId="25" fillId="3" borderId="28" xfId="0" applyFont="1" applyFill="1" applyBorder="1" applyAlignment="1" applyProtection="1">
      <alignment horizontal="center"/>
      <protection hidden="1"/>
    </xf>
    <xf numFmtId="2" fontId="0" fillId="0" borderId="35" xfId="0" applyNumberFormat="1" applyBorder="1" applyAlignment="1" applyProtection="1">
      <alignment horizontal="center"/>
      <protection hidden="1"/>
    </xf>
    <xf numFmtId="0" fontId="19" fillId="0" borderId="0" xfId="0" applyFont="1" applyBorder="1" applyAlignment="1" applyProtection="1">
      <protection hidden="1"/>
    </xf>
    <xf numFmtId="2" fontId="19" fillId="0" borderId="0" xfId="0" applyNumberFormat="1" applyFont="1" applyAlignment="1" applyProtection="1">
      <protection hidden="1"/>
    </xf>
    <xf numFmtId="165" fontId="0" fillId="0" borderId="0" xfId="0" applyNumberFormat="1" applyFont="1" applyFill="1" applyBorder="1" applyAlignment="1" applyProtection="1">
      <alignment horizontal="right"/>
      <protection hidden="1"/>
    </xf>
    <xf numFmtId="0" fontId="0" fillId="0" borderId="0" xfId="0" applyNumberFormat="1" applyAlignment="1" applyProtection="1">
      <protection hidden="1"/>
    </xf>
    <xf numFmtId="0" fontId="2" fillId="0" borderId="0" xfId="0" applyFont="1" applyAlignment="1" applyProtection="1">
      <protection hidden="1"/>
    </xf>
    <xf numFmtId="0" fontId="25" fillId="9" borderId="23" xfId="0" applyFont="1" applyFill="1" applyBorder="1" applyAlignment="1" applyProtection="1">
      <alignment horizontal="center"/>
      <protection hidden="1"/>
    </xf>
    <xf numFmtId="0" fontId="25" fillId="10" borderId="0" xfId="0" applyFont="1" applyFill="1" applyBorder="1" applyAlignment="1" applyProtection="1">
      <alignment horizontal="center"/>
      <protection hidden="1"/>
    </xf>
    <xf numFmtId="0" fontId="25" fillId="2" borderId="0" xfId="0" applyFont="1" applyFill="1" applyBorder="1" applyAlignment="1" applyProtection="1">
      <alignment horizontal="center"/>
      <protection hidden="1"/>
    </xf>
    <xf numFmtId="0" fontId="25" fillId="3" borderId="24" xfId="0" applyFont="1" applyFill="1" applyBorder="1" applyAlignment="1" applyProtection="1">
      <alignment horizontal="center"/>
      <protection hidden="1"/>
    </xf>
    <xf numFmtId="2" fontId="0" fillId="0" borderId="36" xfId="0" applyNumberFormat="1" applyBorder="1" applyAlignment="1" applyProtection="1">
      <alignment horizontal="center"/>
      <protection hidden="1"/>
    </xf>
    <xf numFmtId="0" fontId="5" fillId="0" borderId="0" xfId="0" applyFont="1" applyAlignment="1" applyProtection="1">
      <protection hidden="1"/>
    </xf>
    <xf numFmtId="165" fontId="5" fillId="0" borderId="0" xfId="0" applyNumberFormat="1" applyFont="1" applyFill="1" applyBorder="1" applyAlignment="1" applyProtection="1">
      <protection hidden="1"/>
    </xf>
    <xf numFmtId="0" fontId="1" fillId="0" borderId="0" xfId="0" applyNumberFormat="1" applyFont="1" applyAlignment="1" applyProtection="1">
      <protection hidden="1"/>
    </xf>
    <xf numFmtId="0" fontId="20" fillId="0" borderId="0" xfId="0" applyFont="1" applyAlignment="1" applyProtection="1">
      <protection hidden="1"/>
    </xf>
    <xf numFmtId="0" fontId="25" fillId="9" borderId="25" xfId="0" applyFont="1" applyFill="1" applyBorder="1" applyAlignment="1" applyProtection="1">
      <alignment horizontal="center"/>
      <protection hidden="1"/>
    </xf>
    <xf numFmtId="0" fontId="25" fillId="10" borderId="26" xfId="0" applyFont="1" applyFill="1" applyBorder="1" applyAlignment="1" applyProtection="1">
      <alignment horizontal="center"/>
      <protection hidden="1"/>
    </xf>
    <xf numFmtId="0" fontId="25" fillId="2" borderId="26" xfId="0" applyFont="1" applyFill="1" applyBorder="1" applyAlignment="1" applyProtection="1">
      <alignment horizontal="center"/>
      <protection hidden="1"/>
    </xf>
    <xf numFmtId="0" fontId="25" fillId="3" borderId="27" xfId="0" applyFont="1" applyFill="1" applyBorder="1" applyAlignment="1" applyProtection="1">
      <alignment horizontal="center"/>
      <protection hidden="1"/>
    </xf>
    <xf numFmtId="2" fontId="0" fillId="0" borderId="37" xfId="0" applyNumberFormat="1" applyBorder="1" applyAlignment="1" applyProtection="1">
      <alignment horizontal="center"/>
      <protection hidden="1"/>
    </xf>
    <xf numFmtId="0" fontId="0" fillId="0" borderId="0" xfId="0" applyFill="1" applyBorder="1" applyAlignment="1" applyProtection="1">
      <protection hidden="1"/>
    </xf>
    <xf numFmtId="2" fontId="0" fillId="0" borderId="0" xfId="0" applyNumberFormat="1" applyAlignment="1" applyProtection="1">
      <protection hidden="1"/>
    </xf>
    <xf numFmtId="2" fontId="1" fillId="0" borderId="0" xfId="0" applyNumberFormat="1" applyFont="1" applyAlignment="1" applyProtection="1">
      <protection hidden="1"/>
    </xf>
    <xf numFmtId="165" fontId="19" fillId="0" borderId="0" xfId="0" applyNumberFormat="1" applyFont="1" applyFill="1" applyBorder="1" applyAlignment="1" applyProtection="1">
      <protection hidden="1"/>
    </xf>
    <xf numFmtId="165" fontId="20" fillId="0" borderId="0" xfId="0" applyNumberFormat="1" applyFont="1" applyFill="1" applyBorder="1" applyAlignment="1" applyProtection="1">
      <protection hidden="1"/>
    </xf>
    <xf numFmtId="165" fontId="0" fillId="0" borderId="0" xfId="0" applyNumberFormat="1" applyFont="1" applyFill="1" applyBorder="1" applyAlignment="1" applyProtection="1">
      <protection hidden="1"/>
    </xf>
    <xf numFmtId="165" fontId="5" fillId="0" borderId="0" xfId="0" quotePrefix="1" applyNumberFormat="1" applyFont="1" applyFill="1" applyBorder="1" applyAlignment="1" applyProtection="1">
      <alignment horizontal="left"/>
      <protection hidden="1"/>
    </xf>
    <xf numFmtId="165" fontId="1" fillId="0" borderId="0" xfId="0" applyNumberFormat="1" applyFont="1" applyFill="1" applyBorder="1" applyAlignment="1" applyProtection="1">
      <protection hidden="1"/>
    </xf>
    <xf numFmtId="0" fontId="0" fillId="3" borderId="6" xfId="0" applyFont="1" applyFill="1" applyBorder="1" applyAlignment="1" applyProtection="1">
      <alignment horizontal="center" vertical="center"/>
      <protection hidden="1"/>
    </xf>
    <xf numFmtId="0" fontId="0" fillId="0" borderId="0" xfId="0" applyNumberFormat="1" applyFont="1" applyAlignment="1" applyProtection="1">
      <alignment horizontal="left" vertical="center"/>
      <protection hidden="1"/>
    </xf>
    <xf numFmtId="0" fontId="5" fillId="0" borderId="36" xfId="0" applyFont="1" applyBorder="1" applyAlignment="1" applyProtection="1">
      <protection hidden="1"/>
    </xf>
    <xf numFmtId="0" fontId="0" fillId="0" borderId="36" xfId="0" applyBorder="1" applyAlignment="1" applyProtection="1">
      <protection hidden="1"/>
    </xf>
    <xf numFmtId="0" fontId="19" fillId="0" borderId="36" xfId="0" applyFont="1" applyBorder="1" applyAlignment="1" applyProtection="1">
      <protection hidden="1"/>
    </xf>
    <xf numFmtId="2" fontId="5" fillId="0" borderId="36" xfId="0" applyNumberFormat="1" applyFont="1" applyBorder="1" applyAlignment="1" applyProtection="1">
      <alignment horizontal="center"/>
      <protection hidden="1"/>
    </xf>
    <xf numFmtId="2" fontId="0" fillId="0" borderId="36" xfId="0" applyNumberFormat="1" applyBorder="1" applyAlignment="1" applyProtection="1">
      <alignment horizontal="right" indent="1"/>
      <protection hidden="1"/>
    </xf>
    <xf numFmtId="2" fontId="5" fillId="0" borderId="36" xfId="0" quotePrefix="1" applyNumberFormat="1" applyFont="1" applyBorder="1" applyAlignment="1" applyProtection="1">
      <alignment horizontal="right" indent="2"/>
      <protection hidden="1"/>
    </xf>
    <xf numFmtId="0" fontId="1" fillId="0" borderId="26" xfId="0" applyFont="1" applyBorder="1" applyAlignment="1" applyProtection="1">
      <alignment horizontal="center" vertical="center"/>
      <protection hidden="1"/>
    </xf>
    <xf numFmtId="0" fontId="0" fillId="0" borderId="23" xfId="0" applyBorder="1" applyAlignment="1" applyProtection="1">
      <alignment horizontal="center"/>
      <protection hidden="1"/>
    </xf>
    <xf numFmtId="0" fontId="1" fillId="0" borderId="24" xfId="0" applyFont="1" applyBorder="1" applyAlignment="1" applyProtection="1">
      <protection hidden="1"/>
    </xf>
    <xf numFmtId="0" fontId="0" fillId="0" borderId="23" xfId="0" applyBorder="1" applyAlignment="1" applyProtection="1">
      <protection hidden="1"/>
    </xf>
    <xf numFmtId="164" fontId="5" fillId="0" borderId="23" xfId="0" applyNumberFormat="1" applyFont="1" applyFill="1" applyBorder="1" applyAlignment="1" applyProtection="1">
      <alignment horizontal="center"/>
      <protection hidden="1"/>
    </xf>
    <xf numFmtId="164" fontId="5" fillId="0" borderId="24" xfId="0" applyNumberFormat="1" applyFont="1" applyFill="1" applyBorder="1" applyAlignment="1" applyProtection="1">
      <alignment horizontal="center"/>
      <protection hidden="1"/>
    </xf>
    <xf numFmtId="0" fontId="5" fillId="0" borderId="23" xfId="0" applyFont="1" applyBorder="1" applyAlignment="1" applyProtection="1">
      <protection hidden="1"/>
    </xf>
    <xf numFmtId="0" fontId="5" fillId="0" borderId="24" xfId="0" applyFont="1" applyBorder="1" applyAlignment="1" applyProtection="1">
      <protection hidden="1"/>
    </xf>
    <xf numFmtId="0" fontId="5" fillId="0" borderId="36" xfId="0" applyFont="1" applyFill="1" applyBorder="1" applyAlignment="1" applyProtection="1">
      <protection hidden="1"/>
    </xf>
    <xf numFmtId="2" fontId="0" fillId="0" borderId="0" xfId="0" applyNumberFormat="1" applyProtection="1">
      <protection hidden="1"/>
    </xf>
    <xf numFmtId="2" fontId="1" fillId="0" borderId="0" xfId="0" applyNumberFormat="1" applyFont="1" applyProtection="1">
      <protection hidden="1"/>
    </xf>
    <xf numFmtId="0" fontId="1" fillId="0" borderId="0" xfId="0" applyFont="1" applyFill="1" applyBorder="1" applyAlignment="1" applyProtection="1">
      <alignment horizontal="center" vertical="center"/>
      <protection hidden="1"/>
    </xf>
    <xf numFmtId="0" fontId="0" fillId="0" borderId="24" xfId="0" applyBorder="1" applyAlignment="1" applyProtection="1">
      <protection hidden="1"/>
    </xf>
    <xf numFmtId="165" fontId="0" fillId="0" borderId="0" xfId="0" applyNumberFormat="1" applyFill="1" applyBorder="1" applyAlignment="1" applyProtection="1">
      <alignment vertical="center"/>
      <protection hidden="1"/>
    </xf>
    <xf numFmtId="0" fontId="1" fillId="0" borderId="29" xfId="0" applyNumberFormat="1" applyFont="1" applyBorder="1" applyAlignment="1" applyProtection="1">
      <alignment horizontal="right" vertical="top"/>
      <protection hidden="1"/>
    </xf>
    <xf numFmtId="0" fontId="0" fillId="0" borderId="0" xfId="0" applyAlignment="1" applyProtection="1">
      <alignment horizontal="left"/>
      <protection hidden="1"/>
    </xf>
    <xf numFmtId="2" fontId="0" fillId="0" borderId="29" xfId="0" applyNumberFormat="1" applyFont="1" applyBorder="1" applyAlignment="1" applyProtection="1">
      <alignment horizontal="center" vertical="center"/>
      <protection hidden="1"/>
    </xf>
    <xf numFmtId="2" fontId="0" fillId="0" borderId="14" xfId="0" applyNumberFormat="1" applyFont="1" applyBorder="1" applyAlignment="1" applyProtection="1">
      <alignment horizontal="center" vertical="center"/>
      <protection hidden="1"/>
    </xf>
    <xf numFmtId="2" fontId="0" fillId="0" borderId="15" xfId="0" applyNumberFormat="1" applyFont="1" applyBorder="1" applyAlignment="1" applyProtection="1">
      <alignment horizontal="center"/>
      <protection hidden="1"/>
    </xf>
    <xf numFmtId="2" fontId="0" fillId="0" borderId="25" xfId="0" applyNumberFormat="1" applyBorder="1" applyAlignment="1" applyProtection="1">
      <alignment horizontal="center"/>
      <protection hidden="1"/>
    </xf>
    <xf numFmtId="2" fontId="0" fillId="0" borderId="27" xfId="0" applyNumberFormat="1" applyBorder="1" applyAlignment="1" applyProtection="1">
      <alignment horizontal="center"/>
      <protection hidden="1"/>
    </xf>
    <xf numFmtId="2" fontId="0" fillId="0" borderId="23" xfId="0" applyNumberFormat="1" applyBorder="1" applyAlignment="1" applyProtection="1">
      <alignment horizontal="center"/>
      <protection hidden="1"/>
    </xf>
    <xf numFmtId="2" fontId="0" fillId="0" borderId="24" xfId="0" applyNumberFormat="1" applyBorder="1" applyAlignment="1" applyProtection="1">
      <alignment horizontal="center"/>
      <protection hidden="1"/>
    </xf>
    <xf numFmtId="0" fontId="1" fillId="0" borderId="23" xfId="0" applyFont="1" applyBorder="1" applyAlignment="1" applyProtection="1">
      <alignment horizontal="center"/>
      <protection hidden="1"/>
    </xf>
    <xf numFmtId="0" fontId="9" fillId="0" borderId="0" xfId="0" applyNumberFormat="1" applyFont="1" applyAlignment="1" applyProtection="1">
      <alignment horizontal="left" vertical="center"/>
      <protection hidden="1"/>
    </xf>
    <xf numFmtId="1" fontId="0" fillId="2" borderId="13" xfId="0" applyNumberFormat="1" applyFill="1" applyBorder="1" applyAlignment="1" applyProtection="1">
      <alignment horizontal="center" vertical="center"/>
      <protection hidden="1"/>
    </xf>
    <xf numFmtId="0" fontId="1" fillId="0" borderId="11" xfId="0" applyFont="1" applyBorder="1" applyAlignment="1" applyProtection="1">
      <alignment horizontal="center" vertical="center"/>
      <protection hidden="1"/>
    </xf>
    <xf numFmtId="1" fontId="0" fillId="9" borderId="12" xfId="0" applyNumberFormat="1" applyFill="1" applyBorder="1" applyAlignment="1" applyProtection="1">
      <alignment horizontal="center" vertical="center"/>
      <protection hidden="1"/>
    </xf>
    <xf numFmtId="1" fontId="0" fillId="10" borderId="13" xfId="0" applyNumberFormat="1" applyFill="1" applyBorder="1" applyAlignment="1" applyProtection="1">
      <alignment horizontal="center" vertical="center"/>
      <protection hidden="1"/>
    </xf>
    <xf numFmtId="1" fontId="0" fillId="3" borderId="11" xfId="0" applyNumberFormat="1" applyFill="1" applyBorder="1" applyAlignment="1" applyProtection="1">
      <alignment horizontal="center" vertical="center"/>
      <protection hidden="1"/>
    </xf>
    <xf numFmtId="2" fontId="0" fillId="0" borderId="21" xfId="0" applyNumberFormat="1" applyBorder="1" applyAlignment="1" applyProtection="1">
      <alignment horizontal="center"/>
      <protection hidden="1"/>
    </xf>
    <xf numFmtId="2" fontId="0" fillId="0" borderId="28" xfId="0" applyNumberFormat="1" applyBorder="1" applyAlignment="1" applyProtection="1">
      <alignment horizontal="center"/>
      <protection hidden="1"/>
    </xf>
    <xf numFmtId="0" fontId="0" fillId="0" borderId="0" xfId="0" applyAlignment="1" applyProtection="1">
      <protection hidden="1"/>
    </xf>
    <xf numFmtId="165" fontId="1" fillId="0" borderId="0" xfId="0" applyNumberFormat="1" applyFont="1" applyFill="1" applyBorder="1" applyAlignment="1" applyProtection="1">
      <alignment vertical="top"/>
      <protection hidden="1"/>
    </xf>
    <xf numFmtId="0" fontId="1" fillId="0" borderId="0" xfId="0" applyFont="1" applyBorder="1" applyAlignment="1" applyProtection="1">
      <alignment horizontal="center"/>
      <protection hidden="1"/>
    </xf>
    <xf numFmtId="0" fontId="0" fillId="0" borderId="0" xfId="0" applyBorder="1" applyAlignment="1" applyProtection="1">
      <protection hidden="1"/>
    </xf>
    <xf numFmtId="0" fontId="1" fillId="0" borderId="0" xfId="0" applyFont="1" applyAlignment="1" applyProtection="1">
      <alignment horizontal="left" vertical="center" indent="1"/>
      <protection hidden="1"/>
    </xf>
    <xf numFmtId="0" fontId="0" fillId="0" borderId="0" xfId="0" applyFont="1" applyBorder="1" applyAlignment="1" applyProtection="1">
      <alignment horizontal="center"/>
      <protection hidden="1"/>
    </xf>
    <xf numFmtId="0" fontId="0" fillId="0" borderId="0" xfId="0" applyFont="1" applyAlignment="1" applyProtection="1">
      <alignment horizontal="center"/>
      <protection hidden="1"/>
    </xf>
    <xf numFmtId="0" fontId="0" fillId="0" borderId="0" xfId="0" applyNumberFormat="1" applyFont="1" applyBorder="1" applyAlignment="1" applyProtection="1">
      <alignment horizontal="left" vertical="center"/>
      <protection hidden="1"/>
    </xf>
    <xf numFmtId="0" fontId="0" fillId="0" borderId="0" xfId="0" applyFont="1" applyBorder="1" applyAlignment="1" applyProtection="1">
      <alignment horizontal="left"/>
      <protection hidden="1"/>
    </xf>
    <xf numFmtId="0" fontId="0" fillId="0" borderId="0" xfId="0" applyFont="1" applyProtection="1">
      <protection hidden="1"/>
    </xf>
    <xf numFmtId="2" fontId="0" fillId="0" borderId="29" xfId="0" applyNumberFormat="1" applyFont="1" applyBorder="1" applyAlignment="1" applyProtection="1">
      <alignment horizontal="center"/>
      <protection hidden="1"/>
    </xf>
    <xf numFmtId="2" fontId="0" fillId="0" borderId="14" xfId="0" applyNumberFormat="1" applyFont="1" applyBorder="1" applyAlignment="1" applyProtection="1">
      <alignment horizontal="center"/>
      <protection hidden="1"/>
    </xf>
    <xf numFmtId="0" fontId="1" fillId="0" borderId="0" xfId="0" applyFont="1" applyAlignment="1" applyProtection="1">
      <alignment horizontal="left" indent="1"/>
      <protection hidden="1"/>
    </xf>
    <xf numFmtId="0" fontId="0" fillId="0" borderId="0" xfId="0" applyBorder="1" applyAlignment="1" applyProtection="1">
      <alignment vertical="center"/>
      <protection hidden="1"/>
    </xf>
    <xf numFmtId="0" fontId="0" fillId="0" borderId="0" xfId="0" applyBorder="1" applyAlignment="1" applyProtection="1">
      <alignment horizontal="left" vertical="center"/>
      <protection hidden="1"/>
    </xf>
    <xf numFmtId="0" fontId="0" fillId="0" borderId="0" xfId="0" applyAlignment="1" applyProtection="1">
      <alignment horizontal="center"/>
      <protection hidden="1"/>
    </xf>
    <xf numFmtId="2" fontId="0" fillId="0" borderId="0" xfId="0" applyNumberFormat="1" applyFont="1" applyBorder="1" applyAlignment="1" applyProtection="1">
      <alignment horizontal="left"/>
      <protection hidden="1"/>
    </xf>
    <xf numFmtId="0" fontId="0" fillId="0" borderId="0" xfId="0" applyFont="1" applyAlignment="1" applyProtection="1">
      <alignment horizontal="left"/>
      <protection hidden="1"/>
    </xf>
    <xf numFmtId="0" fontId="0" fillId="0" borderId="0" xfId="0" applyBorder="1" applyAlignment="1" applyProtection="1">
      <alignment horizontal="center" vertical="center"/>
      <protection hidden="1"/>
    </xf>
    <xf numFmtId="0" fontId="27" fillId="0" borderId="15" xfId="0" applyFont="1" applyBorder="1" applyAlignment="1" applyProtection="1">
      <alignment horizontal="left" vertical="center"/>
      <protection hidden="1"/>
    </xf>
    <xf numFmtId="0" fontId="5" fillId="0" borderId="22" xfId="0" applyFont="1" applyBorder="1" applyProtection="1">
      <protection hidden="1"/>
    </xf>
    <xf numFmtId="0" fontId="19" fillId="0" borderId="21" xfId="0" applyNumberFormat="1" applyFont="1" applyBorder="1" applyAlignment="1" applyProtection="1">
      <alignment horizontal="center"/>
      <protection locked="0" hidden="1"/>
    </xf>
    <xf numFmtId="0" fontId="19" fillId="0" borderId="22" xfId="0" applyNumberFormat="1" applyFont="1" applyBorder="1" applyAlignment="1" applyProtection="1">
      <alignment horizontal="center"/>
      <protection locked="0" hidden="1"/>
    </xf>
    <xf numFmtId="0" fontId="19" fillId="0" borderId="28" xfId="0" applyNumberFormat="1" applyFont="1" applyBorder="1" applyAlignment="1" applyProtection="1">
      <alignment horizontal="center"/>
      <protection locked="0" hidden="1"/>
    </xf>
    <xf numFmtId="0" fontId="19" fillId="0" borderId="23" xfId="0" applyNumberFormat="1" applyFont="1" applyBorder="1" applyAlignment="1" applyProtection="1">
      <alignment horizontal="center"/>
      <protection locked="0" hidden="1"/>
    </xf>
    <xf numFmtId="0" fontId="19" fillId="0" borderId="0" xfId="0" applyNumberFormat="1" applyFont="1" applyBorder="1" applyAlignment="1" applyProtection="1">
      <alignment horizontal="center"/>
      <protection locked="0" hidden="1"/>
    </xf>
    <xf numFmtId="0" fontId="19" fillId="0" borderId="24" xfId="0" applyNumberFormat="1" applyFont="1" applyBorder="1" applyAlignment="1" applyProtection="1">
      <alignment horizontal="center"/>
      <protection locked="0" hidden="1"/>
    </xf>
    <xf numFmtId="0" fontId="19" fillId="0" borderId="25" xfId="0" applyNumberFormat="1" applyFont="1" applyBorder="1" applyAlignment="1" applyProtection="1">
      <alignment horizontal="center"/>
      <protection locked="0" hidden="1"/>
    </xf>
    <xf numFmtId="0" fontId="19" fillId="0" borderId="26" xfId="0" applyNumberFormat="1" applyFont="1" applyBorder="1" applyAlignment="1" applyProtection="1">
      <alignment horizontal="center"/>
      <protection locked="0" hidden="1"/>
    </xf>
    <xf numFmtId="0" fontId="19" fillId="0" borderId="27" xfId="0" applyNumberFormat="1" applyFont="1" applyBorder="1" applyAlignment="1" applyProtection="1">
      <alignment horizontal="center"/>
      <protection locked="0" hidden="1"/>
    </xf>
    <xf numFmtId="0" fontId="0" fillId="0" borderId="21" xfId="0" applyNumberFormat="1" applyBorder="1" applyAlignment="1" applyProtection="1">
      <alignment horizontal="center"/>
      <protection locked="0" hidden="1"/>
    </xf>
    <xf numFmtId="0" fontId="0" fillId="0" borderId="22" xfId="0" applyNumberFormat="1" applyBorder="1" applyAlignment="1" applyProtection="1">
      <alignment horizontal="center"/>
      <protection locked="0" hidden="1"/>
    </xf>
    <xf numFmtId="0" fontId="0" fillId="0" borderId="28" xfId="0" applyNumberFormat="1" applyBorder="1" applyAlignment="1" applyProtection="1">
      <alignment horizontal="center"/>
      <protection locked="0" hidden="1"/>
    </xf>
    <xf numFmtId="0" fontId="0" fillId="0" borderId="23" xfId="0" applyNumberFormat="1" applyBorder="1" applyAlignment="1" applyProtection="1">
      <alignment horizontal="center"/>
      <protection locked="0" hidden="1"/>
    </xf>
    <xf numFmtId="0" fontId="0" fillId="0" borderId="0" xfId="0" applyNumberFormat="1" applyBorder="1" applyAlignment="1" applyProtection="1">
      <alignment horizontal="center"/>
      <protection locked="0" hidden="1"/>
    </xf>
    <xf numFmtId="0" fontId="0" fillId="0" borderId="24" xfId="0" applyNumberFormat="1" applyBorder="1" applyAlignment="1" applyProtection="1">
      <alignment horizontal="center"/>
      <protection locked="0" hidden="1"/>
    </xf>
    <xf numFmtId="0" fontId="0" fillId="0" borderId="25" xfId="0" applyNumberFormat="1" applyBorder="1" applyAlignment="1" applyProtection="1">
      <alignment horizontal="center"/>
      <protection locked="0" hidden="1"/>
    </xf>
    <xf numFmtId="0" fontId="0" fillId="0" borderId="26" xfId="0" applyNumberFormat="1" applyBorder="1" applyAlignment="1" applyProtection="1">
      <alignment horizontal="center"/>
      <protection locked="0" hidden="1"/>
    </xf>
    <xf numFmtId="0" fontId="0" fillId="0" borderId="27" xfId="0" applyNumberFormat="1" applyBorder="1" applyAlignment="1" applyProtection="1">
      <alignment horizontal="center"/>
      <protection locked="0" hidden="1"/>
    </xf>
    <xf numFmtId="165" fontId="29" fillId="0" borderId="0" xfId="0" applyNumberFormat="1" applyFont="1" applyProtection="1">
      <protection hidden="1"/>
    </xf>
    <xf numFmtId="165" fontId="0" fillId="0" borderId="0" xfId="0" applyNumberFormat="1" applyFill="1" applyBorder="1" applyAlignment="1" applyProtection="1">
      <protection hidden="1"/>
    </xf>
    <xf numFmtId="165" fontId="0" fillId="0" borderId="0" xfId="0" applyNumberFormat="1" applyAlignment="1" applyProtection="1">
      <protection hidden="1"/>
    </xf>
    <xf numFmtId="2" fontId="0" fillId="0" borderId="0" xfId="0" applyNumberFormat="1" applyFill="1" applyBorder="1" applyProtection="1">
      <protection hidden="1"/>
    </xf>
    <xf numFmtId="2" fontId="19" fillId="0" borderId="0" xfId="0" applyNumberFormat="1" applyFont="1" applyFill="1" applyBorder="1" applyProtection="1">
      <protection hidden="1"/>
    </xf>
    <xf numFmtId="2" fontId="20" fillId="0" borderId="0" xfId="0" applyNumberFormat="1" applyFont="1" applyFill="1" applyBorder="1" applyProtection="1">
      <protection hidden="1"/>
    </xf>
    <xf numFmtId="2" fontId="0" fillId="0" borderId="0" xfId="0" applyNumberFormat="1" applyFill="1" applyBorder="1" applyAlignment="1" applyProtection="1">
      <protection hidden="1"/>
    </xf>
    <xf numFmtId="0" fontId="0" fillId="0" borderId="16" xfId="0" applyBorder="1" applyAlignment="1" applyProtection="1">
      <alignment horizontal="left"/>
      <protection hidden="1"/>
    </xf>
    <xf numFmtId="0" fontId="0" fillId="0" borderId="18" xfId="0" applyBorder="1" applyAlignment="1" applyProtection="1">
      <alignment horizontal="left"/>
      <protection hidden="1"/>
    </xf>
    <xf numFmtId="0" fontId="0" fillId="0" borderId="0" xfId="0" applyFont="1" applyBorder="1" applyAlignment="1" applyProtection="1">
      <alignment horizontal="left" vertical="center"/>
      <protection hidden="1"/>
    </xf>
    <xf numFmtId="0" fontId="6" fillId="0" borderId="30" xfId="0" applyFont="1" applyBorder="1" applyAlignment="1" applyProtection="1">
      <alignment horizontal="left" vertical="center"/>
      <protection hidden="1"/>
    </xf>
    <xf numFmtId="2" fontId="19" fillId="0" borderId="0" xfId="0" applyNumberFormat="1" applyFont="1" applyBorder="1" applyAlignment="1" applyProtection="1">
      <protection hidden="1"/>
    </xf>
    <xf numFmtId="0" fontId="0" fillId="0" borderId="1" xfId="0" applyBorder="1" applyAlignment="1" applyProtection="1">
      <protection hidden="1"/>
    </xf>
    <xf numFmtId="0" fontId="0" fillId="0" borderId="2" xfId="0" applyBorder="1" applyAlignment="1" applyProtection="1">
      <protection hidden="1"/>
    </xf>
    <xf numFmtId="2" fontId="0" fillId="0" borderId="3" xfId="0" applyNumberFormat="1" applyBorder="1" applyAlignment="1" applyProtection="1">
      <protection hidden="1"/>
    </xf>
    <xf numFmtId="2" fontId="0" fillId="0" borderId="0" xfId="0" applyNumberFormat="1" applyBorder="1" applyAlignment="1" applyProtection="1">
      <protection hidden="1"/>
    </xf>
    <xf numFmtId="0" fontId="0" fillId="0" borderId="8" xfId="0" applyBorder="1" applyAlignment="1" applyProtection="1">
      <protection hidden="1"/>
    </xf>
    <xf numFmtId="2" fontId="0" fillId="0" borderId="4" xfId="0" applyNumberFormat="1" applyBorder="1" applyAlignment="1" applyProtection="1">
      <protection hidden="1"/>
    </xf>
    <xf numFmtId="0" fontId="6" fillId="0" borderId="0" xfId="0" applyFont="1" applyBorder="1" applyAlignment="1" applyProtection="1">
      <alignment horizontal="left" vertical="top"/>
      <protection hidden="1"/>
    </xf>
    <xf numFmtId="0" fontId="0" fillId="0" borderId="0" xfId="0" applyFont="1" applyBorder="1" applyAlignment="1" applyProtection="1">
      <alignment horizontal="left" vertical="top"/>
      <protection hidden="1"/>
    </xf>
    <xf numFmtId="0" fontId="0" fillId="0" borderId="0" xfId="0" applyBorder="1" applyAlignment="1" applyProtection="1">
      <alignment wrapText="1"/>
      <protection hidden="1"/>
    </xf>
    <xf numFmtId="0" fontId="0" fillId="0" borderId="0" xfId="0" applyFont="1" applyBorder="1" applyAlignment="1" applyProtection="1">
      <alignment vertical="top"/>
      <protection hidden="1"/>
    </xf>
    <xf numFmtId="0" fontId="0" fillId="0" borderId="0" xfId="0" applyFont="1" applyBorder="1" applyAlignment="1" applyProtection="1">
      <alignment wrapText="1"/>
      <protection hidden="1"/>
    </xf>
    <xf numFmtId="0" fontId="6" fillId="0" borderId="29" xfId="0" applyFont="1" applyBorder="1" applyAlignment="1" applyProtection="1">
      <alignment horizontal="left" vertical="center"/>
      <protection hidden="1"/>
    </xf>
    <xf numFmtId="0" fontId="0" fillId="0" borderId="14" xfId="0" applyBorder="1" applyAlignment="1" applyProtection="1">
      <alignment horizontal="left"/>
      <protection hidden="1"/>
    </xf>
    <xf numFmtId="164" fontId="7" fillId="0" borderId="14" xfId="0" applyNumberFormat="1" applyFont="1" applyBorder="1" applyAlignment="1" applyProtection="1">
      <alignment horizontal="center" vertical="center"/>
      <protection hidden="1"/>
    </xf>
    <xf numFmtId="164" fontId="1" fillId="0" borderId="15" xfId="0" applyNumberFormat="1" applyFont="1" applyBorder="1" applyAlignment="1" applyProtection="1">
      <alignment horizontal="center" vertical="center"/>
      <protection hidden="1"/>
    </xf>
    <xf numFmtId="0" fontId="1" fillId="0" borderId="0" xfId="0" applyFont="1" applyBorder="1" applyAlignment="1" applyProtection="1">
      <alignment vertical="top"/>
      <protection hidden="1"/>
    </xf>
    <xf numFmtId="165" fontId="0" fillId="0" borderId="0" xfId="0" applyNumberFormat="1" applyFill="1" applyBorder="1" applyAlignment="1" applyProtection="1">
      <protection hidden="1"/>
    </xf>
    <xf numFmtId="165" fontId="0" fillId="0" borderId="0" xfId="0" applyNumberFormat="1" applyAlignment="1" applyProtection="1">
      <protection hidden="1"/>
    </xf>
    <xf numFmtId="0" fontId="28" fillId="0" borderId="0" xfId="0" applyFont="1" applyBorder="1" applyAlignment="1" applyProtection="1">
      <alignment vertical="center"/>
      <protection hidden="1"/>
    </xf>
    <xf numFmtId="0" fontId="28" fillId="0" borderId="0" xfId="0" applyFont="1" applyBorder="1" applyAlignment="1" applyProtection="1">
      <protection hidden="1"/>
    </xf>
    <xf numFmtId="0" fontId="0" fillId="0" borderId="29" xfId="0" applyBorder="1" applyAlignment="1" applyProtection="1">
      <alignment vertical="center"/>
      <protection locked="0" hidden="1"/>
    </xf>
    <xf numFmtId="0" fontId="0" fillId="0" borderId="14" xfId="0" applyBorder="1" applyAlignment="1" applyProtection="1">
      <protection locked="0" hidden="1"/>
    </xf>
    <xf numFmtId="0" fontId="0" fillId="0" borderId="15" xfId="0" applyBorder="1" applyAlignment="1" applyProtection="1">
      <protection locked="0" hidden="1"/>
    </xf>
    <xf numFmtId="2" fontId="0" fillId="0" borderId="23" xfId="0" applyNumberFormat="1" applyBorder="1" applyAlignment="1" applyProtection="1">
      <alignment horizontal="center"/>
      <protection hidden="1"/>
    </xf>
    <xf numFmtId="2" fontId="0" fillId="0" borderId="24" xfId="0" applyNumberFormat="1" applyBorder="1" applyAlignment="1" applyProtection="1">
      <alignment horizontal="center"/>
      <protection hidden="1"/>
    </xf>
    <xf numFmtId="2" fontId="19" fillId="0" borderId="23" xfId="0" applyNumberFormat="1" applyFont="1" applyBorder="1" applyAlignment="1" applyProtection="1">
      <alignment horizontal="center"/>
      <protection hidden="1"/>
    </xf>
    <xf numFmtId="2" fontId="19" fillId="0" borderId="24" xfId="0" applyNumberFormat="1" applyFont="1" applyBorder="1" applyAlignment="1" applyProtection="1">
      <alignment horizontal="center"/>
      <protection hidden="1"/>
    </xf>
    <xf numFmtId="2" fontId="19" fillId="0" borderId="21" xfId="0" applyNumberFormat="1" applyFont="1" applyBorder="1" applyAlignment="1" applyProtection="1">
      <alignment horizontal="center"/>
      <protection hidden="1"/>
    </xf>
    <xf numFmtId="2" fontId="19" fillId="0" borderId="28" xfId="0" applyNumberFormat="1" applyFont="1" applyBorder="1" applyAlignment="1" applyProtection="1">
      <alignment horizontal="center"/>
      <protection hidden="1"/>
    </xf>
    <xf numFmtId="2" fontId="0" fillId="0" borderId="25" xfId="0" applyNumberFormat="1" applyBorder="1" applyAlignment="1" applyProtection="1">
      <alignment horizontal="center"/>
      <protection hidden="1"/>
    </xf>
    <xf numFmtId="2" fontId="0" fillId="0" borderId="27" xfId="0" applyNumberFormat="1" applyBorder="1" applyAlignment="1" applyProtection="1">
      <alignment horizontal="center"/>
      <protection hidden="1"/>
    </xf>
    <xf numFmtId="2" fontId="0" fillId="0" borderId="21" xfId="0" applyNumberFormat="1" applyBorder="1" applyAlignment="1" applyProtection="1">
      <alignment horizontal="center"/>
      <protection hidden="1"/>
    </xf>
    <xf numFmtId="2" fontId="0" fillId="0" borderId="28" xfId="0" applyNumberFormat="1" applyBorder="1" applyAlignment="1" applyProtection="1">
      <alignment horizontal="center"/>
      <protection hidden="1"/>
    </xf>
    <xf numFmtId="2" fontId="19" fillId="0" borderId="25" xfId="0" applyNumberFormat="1" applyFont="1" applyBorder="1" applyAlignment="1" applyProtection="1">
      <alignment horizontal="center"/>
      <protection hidden="1"/>
    </xf>
    <xf numFmtId="2" fontId="19" fillId="0" borderId="27" xfId="0" applyNumberFormat="1" applyFont="1" applyBorder="1" applyAlignment="1" applyProtection="1">
      <alignment horizontal="center"/>
      <protection hidden="1"/>
    </xf>
    <xf numFmtId="1" fontId="0" fillId="3" borderId="5" xfId="0" applyNumberFormat="1" applyFill="1" applyBorder="1" applyAlignment="1" applyProtection="1">
      <alignment horizontal="center" vertical="center"/>
      <protection hidden="1"/>
    </xf>
    <xf numFmtId="1" fontId="0" fillId="3" borderId="6" xfId="0" applyNumberFormat="1" applyFill="1" applyBorder="1" applyAlignment="1" applyProtection="1">
      <alignment horizontal="center" vertical="center"/>
      <protection hidden="1"/>
    </xf>
    <xf numFmtId="1" fontId="0" fillId="3" borderId="32" xfId="0" applyNumberFormat="1" applyFill="1" applyBorder="1" applyAlignment="1" applyProtection="1">
      <alignment horizontal="center" vertical="center"/>
      <protection hidden="1"/>
    </xf>
    <xf numFmtId="0" fontId="1" fillId="0" borderId="11" xfId="0" applyFont="1" applyBorder="1" applyAlignment="1" applyProtection="1">
      <alignment horizontal="center" vertical="center"/>
      <protection hidden="1"/>
    </xf>
    <xf numFmtId="0" fontId="1" fillId="0" borderId="7" xfId="0" applyFont="1" applyBorder="1" applyAlignment="1" applyProtection="1">
      <alignment horizontal="center" vertical="center"/>
      <protection hidden="1"/>
    </xf>
    <xf numFmtId="1" fontId="0" fillId="9" borderId="12" xfId="0" applyNumberFormat="1" applyFill="1" applyBorder="1" applyAlignment="1" applyProtection="1">
      <alignment horizontal="center" vertical="center"/>
      <protection hidden="1"/>
    </xf>
    <xf numFmtId="1" fontId="0" fillId="9" borderId="3" xfId="0" applyNumberFormat="1" applyFill="1" applyBorder="1" applyAlignment="1" applyProtection="1">
      <alignment horizontal="center" vertical="center"/>
      <protection hidden="1"/>
    </xf>
    <xf numFmtId="1" fontId="0" fillId="3" borderId="11" xfId="0" applyNumberFormat="1" applyFill="1" applyBorder="1" applyAlignment="1" applyProtection="1">
      <alignment horizontal="center" vertical="center"/>
      <protection hidden="1"/>
    </xf>
    <xf numFmtId="1" fontId="0" fillId="3" borderId="7" xfId="0" applyNumberFormat="1" applyFill="1" applyBorder="1" applyAlignment="1" applyProtection="1">
      <alignment horizontal="center" vertical="center"/>
      <protection hidden="1"/>
    </xf>
    <xf numFmtId="1" fontId="0" fillId="10" borderId="13" xfId="0" applyNumberFormat="1" applyFill="1" applyBorder="1" applyAlignment="1" applyProtection="1">
      <alignment horizontal="center" vertical="center"/>
      <protection hidden="1"/>
    </xf>
    <xf numFmtId="1" fontId="0" fillId="10" borderId="4" xfId="0" applyNumberFormat="1" applyFill="1" applyBorder="1" applyAlignment="1" applyProtection="1">
      <alignment horizontal="center" vertical="center"/>
      <protection hidden="1"/>
    </xf>
    <xf numFmtId="1" fontId="0" fillId="2" borderId="13" xfId="0" applyNumberFormat="1" applyFill="1" applyBorder="1" applyAlignment="1" applyProtection="1">
      <alignment horizontal="center" vertical="center"/>
      <protection hidden="1"/>
    </xf>
    <xf numFmtId="1" fontId="0" fillId="2" borderId="4" xfId="0" applyNumberFormat="1" applyFill="1" applyBorder="1" applyAlignment="1" applyProtection="1">
      <alignment horizontal="center" vertical="center"/>
      <protection hidden="1"/>
    </xf>
    <xf numFmtId="0" fontId="5" fillId="10" borderId="0" xfId="0" applyFont="1" applyFill="1" applyBorder="1" applyAlignment="1" applyProtection="1">
      <alignment horizontal="center" vertical="center"/>
      <protection hidden="1"/>
    </xf>
    <xf numFmtId="1" fontId="0" fillId="10" borderId="8" xfId="0" applyNumberFormat="1" applyFill="1" applyBorder="1" applyAlignment="1" applyProtection="1">
      <alignment horizontal="center" vertical="center"/>
      <protection hidden="1"/>
    </xf>
    <xf numFmtId="1" fontId="0" fillId="10" borderId="0" xfId="0" applyNumberFormat="1" applyFill="1" applyBorder="1" applyAlignment="1" applyProtection="1">
      <alignment horizontal="center" vertical="center"/>
      <protection hidden="1"/>
    </xf>
    <xf numFmtId="1" fontId="0" fillId="10" borderId="20" xfId="0" applyNumberFormat="1" applyFill="1" applyBorder="1" applyAlignment="1" applyProtection="1">
      <alignment horizontal="center" vertical="center"/>
      <protection hidden="1"/>
    </xf>
    <xf numFmtId="0" fontId="1" fillId="3" borderId="5" xfId="0" applyFont="1" applyFill="1" applyBorder="1" applyAlignment="1" applyProtection="1">
      <alignment horizontal="center" vertical="center"/>
      <protection hidden="1"/>
    </xf>
    <xf numFmtId="0" fontId="1" fillId="3" borderId="7" xfId="0" applyFont="1" applyFill="1" applyBorder="1" applyAlignment="1" applyProtection="1">
      <alignment horizontal="center" vertical="center"/>
      <protection hidden="1"/>
    </xf>
    <xf numFmtId="0" fontId="5" fillId="9" borderId="5" xfId="0" applyFont="1" applyFill="1" applyBorder="1" applyAlignment="1" applyProtection="1">
      <alignment horizontal="center" vertical="center"/>
      <protection hidden="1"/>
    </xf>
    <xf numFmtId="0" fontId="5" fillId="9" borderId="6" xfId="0" applyFont="1" applyFill="1" applyBorder="1" applyAlignment="1" applyProtection="1">
      <alignment horizontal="center" vertical="center"/>
      <protection hidden="1"/>
    </xf>
    <xf numFmtId="0" fontId="1" fillId="0" borderId="5" xfId="0" applyFont="1" applyBorder="1" applyAlignment="1" applyProtection="1">
      <alignment horizontal="center" vertical="center"/>
      <protection hidden="1"/>
    </xf>
    <xf numFmtId="0" fontId="1" fillId="0" borderId="6" xfId="0" applyFont="1" applyBorder="1" applyAlignment="1" applyProtection="1">
      <alignment horizontal="center" vertical="center"/>
      <protection hidden="1"/>
    </xf>
    <xf numFmtId="0" fontId="1" fillId="0" borderId="32" xfId="0" applyFont="1" applyBorder="1" applyAlignment="1" applyProtection="1">
      <alignment horizontal="center" vertical="center"/>
      <protection hidden="1"/>
    </xf>
    <xf numFmtId="0" fontId="0" fillId="0" borderId="29" xfId="0" applyNumberFormat="1" applyFont="1" applyBorder="1" applyAlignment="1" applyProtection="1">
      <alignment horizontal="left" vertical="center"/>
      <protection locked="0" hidden="1"/>
    </xf>
    <xf numFmtId="0" fontId="0" fillId="0" borderId="29" xfId="0" applyBorder="1" applyAlignment="1" applyProtection="1">
      <alignment horizontal="left" vertical="center"/>
      <protection locked="0" hidden="1"/>
    </xf>
    <xf numFmtId="0" fontId="1" fillId="0" borderId="0" xfId="0" applyFont="1" applyBorder="1" applyAlignment="1" applyProtection="1">
      <alignment horizontal="center"/>
      <protection hidden="1"/>
    </xf>
    <xf numFmtId="0" fontId="0" fillId="0" borderId="32" xfId="0" applyBorder="1" applyAlignment="1" applyProtection="1">
      <alignment horizontal="center" vertical="center"/>
      <protection hidden="1"/>
    </xf>
    <xf numFmtId="0" fontId="0" fillId="0" borderId="33" xfId="0" applyBorder="1" applyAlignment="1" applyProtection="1">
      <alignment horizontal="center" vertical="center"/>
      <protection hidden="1"/>
    </xf>
    <xf numFmtId="0" fontId="0" fillId="0" borderId="20" xfId="0" applyBorder="1" applyAlignment="1" applyProtection="1">
      <alignment horizontal="center" vertical="center"/>
      <protection hidden="1"/>
    </xf>
    <xf numFmtId="0" fontId="0" fillId="0" borderId="32" xfId="0" applyFont="1" applyBorder="1" applyAlignment="1" applyProtection="1">
      <alignment horizontal="center" vertical="center"/>
      <protection hidden="1"/>
    </xf>
    <xf numFmtId="0" fontId="1" fillId="9" borderId="8" xfId="0" applyFont="1" applyFill="1" applyBorder="1" applyAlignment="1" applyProtection="1">
      <alignment horizontal="center" vertical="center"/>
      <protection hidden="1"/>
    </xf>
    <xf numFmtId="0" fontId="1" fillId="9" borderId="4" xfId="0" applyFont="1" applyFill="1" applyBorder="1" applyAlignment="1" applyProtection="1">
      <alignment horizontal="center" vertical="center"/>
      <protection hidden="1"/>
    </xf>
    <xf numFmtId="0" fontId="1" fillId="10" borderId="8" xfId="0" applyFont="1" applyFill="1" applyBorder="1" applyAlignment="1" applyProtection="1">
      <alignment horizontal="center" vertical="center"/>
      <protection hidden="1"/>
    </xf>
    <xf numFmtId="0" fontId="1" fillId="10" borderId="4" xfId="0" applyFont="1" applyFill="1" applyBorder="1" applyAlignment="1" applyProtection="1">
      <alignment horizontal="center" vertical="center"/>
      <protection hidden="1"/>
    </xf>
    <xf numFmtId="0" fontId="5" fillId="10" borderId="6" xfId="0" applyFont="1" applyFill="1" applyBorder="1" applyAlignment="1" applyProtection="1">
      <alignment horizontal="center" vertical="center"/>
      <protection hidden="1"/>
    </xf>
    <xf numFmtId="0" fontId="1" fillId="0" borderId="1" xfId="0" applyFont="1" applyBorder="1" applyAlignment="1" applyProtection="1">
      <alignment horizontal="center" vertical="center"/>
      <protection hidden="1"/>
    </xf>
    <xf numFmtId="0" fontId="1" fillId="0" borderId="2" xfId="0" applyFont="1" applyBorder="1" applyAlignment="1" applyProtection="1">
      <alignment horizontal="center" vertical="center"/>
      <protection hidden="1"/>
    </xf>
    <xf numFmtId="0" fontId="1" fillId="0" borderId="33" xfId="0" applyFont="1" applyBorder="1" applyAlignment="1" applyProtection="1">
      <alignment horizontal="center" vertical="center"/>
      <protection hidden="1"/>
    </xf>
    <xf numFmtId="1" fontId="0" fillId="9" borderId="1" xfId="0" applyNumberFormat="1" applyFill="1" applyBorder="1" applyAlignment="1" applyProtection="1">
      <alignment horizontal="center" vertical="center"/>
      <protection hidden="1"/>
    </xf>
    <xf numFmtId="1" fontId="0" fillId="9" borderId="2" xfId="0" applyNumberFormat="1" applyFill="1" applyBorder="1" applyAlignment="1" applyProtection="1">
      <alignment horizontal="center" vertical="center"/>
      <protection hidden="1"/>
    </xf>
    <xf numFmtId="1" fontId="0" fillId="9" borderId="33" xfId="0" applyNumberFormat="1" applyFill="1" applyBorder="1" applyAlignment="1" applyProtection="1">
      <alignment horizontal="center" vertical="center"/>
      <protection hidden="1"/>
    </xf>
    <xf numFmtId="0" fontId="1" fillId="2" borderId="8" xfId="0" applyFont="1" applyFill="1" applyBorder="1" applyAlignment="1" applyProtection="1">
      <alignment horizontal="center" vertical="center"/>
      <protection hidden="1"/>
    </xf>
    <xf numFmtId="0" fontId="1" fillId="2" borderId="4" xfId="0" applyFont="1" applyFill="1" applyBorder="1" applyAlignment="1" applyProtection="1">
      <alignment horizontal="center" vertical="center"/>
      <protection hidden="1"/>
    </xf>
    <xf numFmtId="1" fontId="0" fillId="2" borderId="8" xfId="0" applyNumberFormat="1" applyFill="1" applyBorder="1" applyAlignment="1" applyProtection="1">
      <alignment horizontal="center" vertical="center"/>
      <protection hidden="1"/>
    </xf>
    <xf numFmtId="1" fontId="0" fillId="2" borderId="0" xfId="0" applyNumberFormat="1" applyFill="1" applyBorder="1" applyAlignment="1" applyProtection="1">
      <alignment horizontal="center" vertical="center"/>
      <protection hidden="1"/>
    </xf>
    <xf numFmtId="1" fontId="0" fillId="2" borderId="20" xfId="0" applyNumberFormat="1" applyFill="1" applyBorder="1" applyAlignment="1" applyProtection="1">
      <alignment horizontal="center" vertical="center"/>
      <protection hidden="1"/>
    </xf>
    <xf numFmtId="0" fontId="9" fillId="0" borderId="0" xfId="0" applyNumberFormat="1" applyFont="1" applyAlignment="1" applyProtection="1">
      <alignment horizontal="left" vertical="center"/>
      <protection hidden="1"/>
    </xf>
    <xf numFmtId="22" fontId="5" fillId="0" borderId="0" xfId="0" applyNumberFormat="1" applyFont="1" applyBorder="1" applyAlignment="1" applyProtection="1">
      <alignment horizontal="left" vertical="center"/>
      <protection hidden="1"/>
    </xf>
    <xf numFmtId="0" fontId="0" fillId="0" borderId="34" xfId="0" applyBorder="1" applyAlignment="1" applyProtection="1">
      <alignment horizontal="center" vertical="center"/>
      <protection hidden="1"/>
    </xf>
    <xf numFmtId="0" fontId="0" fillId="0" borderId="10" xfId="0" applyBorder="1" applyAlignment="1" applyProtection="1">
      <alignment horizontal="center" vertical="center"/>
      <protection hidden="1"/>
    </xf>
    <xf numFmtId="0" fontId="1" fillId="10" borderId="9" xfId="0" applyFont="1" applyFill="1" applyBorder="1" applyAlignment="1" applyProtection="1">
      <alignment horizontal="center" vertical="center"/>
      <protection hidden="1"/>
    </xf>
    <xf numFmtId="164" fontId="0" fillId="10" borderId="2" xfId="0" applyNumberFormat="1" applyFill="1" applyBorder="1" applyAlignment="1" applyProtection="1">
      <alignment horizontal="center" vertical="center"/>
      <protection hidden="1"/>
    </xf>
    <xf numFmtId="164" fontId="0" fillId="10" borderId="0" xfId="0" applyNumberFormat="1" applyFill="1" applyBorder="1" applyAlignment="1" applyProtection="1">
      <alignment horizontal="center" vertical="center"/>
      <protection hidden="1"/>
    </xf>
    <xf numFmtId="0" fontId="1" fillId="9" borderId="34" xfId="0" applyFont="1" applyFill="1" applyBorder="1" applyAlignment="1" applyProtection="1">
      <alignment horizontal="center" vertical="center"/>
      <protection hidden="1"/>
    </xf>
    <xf numFmtId="0" fontId="1" fillId="9" borderId="9" xfId="0" applyFont="1" applyFill="1" applyBorder="1" applyAlignment="1" applyProtection="1">
      <alignment horizontal="center" vertical="center"/>
      <protection hidden="1"/>
    </xf>
    <xf numFmtId="164" fontId="0" fillId="9" borderId="1" xfId="0" applyNumberFormat="1" applyFill="1" applyBorder="1" applyAlignment="1" applyProtection="1">
      <alignment horizontal="center" vertical="center"/>
      <protection hidden="1"/>
    </xf>
    <xf numFmtId="164" fontId="0" fillId="9" borderId="2" xfId="0" applyNumberFormat="1" applyFill="1" applyBorder="1" applyAlignment="1" applyProtection="1">
      <alignment horizontal="center" vertical="center"/>
      <protection hidden="1"/>
    </xf>
    <xf numFmtId="164" fontId="0" fillId="9" borderId="8" xfId="0" applyNumberFormat="1" applyFill="1" applyBorder="1" applyAlignment="1" applyProtection="1">
      <alignment horizontal="center" vertical="center"/>
      <protection hidden="1"/>
    </xf>
    <xf numFmtId="164" fontId="0" fillId="9" borderId="0" xfId="0" applyNumberFormat="1" applyFill="1" applyBorder="1" applyAlignment="1" applyProtection="1">
      <alignment horizontal="center" vertical="center"/>
      <protection hidden="1"/>
    </xf>
    <xf numFmtId="0" fontId="1" fillId="0" borderId="3" xfId="0" applyFont="1" applyBorder="1" applyAlignment="1" applyProtection="1">
      <alignment horizontal="center" vertical="center"/>
      <protection hidden="1"/>
    </xf>
    <xf numFmtId="0" fontId="1" fillId="0" borderId="8" xfId="0" applyFont="1" applyBorder="1" applyAlignment="1" applyProtection="1">
      <alignment horizontal="center" vertical="center"/>
      <protection hidden="1"/>
    </xf>
    <xf numFmtId="0" fontId="1" fillId="0" borderId="4" xfId="0" applyFont="1" applyBorder="1" applyAlignment="1" applyProtection="1">
      <alignment horizontal="center" vertical="center"/>
      <protection hidden="1"/>
    </xf>
    <xf numFmtId="0" fontId="1" fillId="0" borderId="12" xfId="0" applyFont="1" applyBorder="1" applyAlignment="1" applyProtection="1">
      <alignment horizontal="center" vertical="center"/>
      <protection hidden="1"/>
    </xf>
    <xf numFmtId="0" fontId="1" fillId="0" borderId="26" xfId="0" applyFont="1" applyFill="1" applyBorder="1" applyAlignment="1" applyProtection="1">
      <alignment horizontal="center" vertical="center"/>
      <protection hidden="1"/>
    </xf>
    <xf numFmtId="0" fontId="7" fillId="0" borderId="18" xfId="0" applyFont="1" applyBorder="1" applyAlignment="1" applyProtection="1">
      <alignment horizontal="right" vertical="center"/>
      <protection hidden="1"/>
    </xf>
    <xf numFmtId="0" fontId="0" fillId="0" borderId="18" xfId="0" applyBorder="1" applyAlignment="1">
      <alignment vertical="center"/>
    </xf>
    <xf numFmtId="0" fontId="1" fillId="0" borderId="30" xfId="0" applyFont="1" applyBorder="1" applyAlignment="1" applyProtection="1">
      <alignment horizontal="left" vertical="center"/>
      <protection hidden="1"/>
    </xf>
    <xf numFmtId="0" fontId="0" fillId="0" borderId="16" xfId="0" applyBorder="1" applyAlignment="1">
      <alignment horizontal="left" vertical="center"/>
    </xf>
    <xf numFmtId="0" fontId="0" fillId="0" borderId="31" xfId="0" applyBorder="1" applyAlignment="1">
      <alignment horizontal="left" vertical="center"/>
    </xf>
    <xf numFmtId="0" fontId="0" fillId="0" borderId="18" xfId="0" applyBorder="1" applyAlignment="1">
      <alignment horizontal="left" vertical="center"/>
    </xf>
    <xf numFmtId="0" fontId="5" fillId="9" borderId="8" xfId="0" applyFont="1" applyFill="1" applyBorder="1" applyAlignment="1" applyProtection="1">
      <alignment horizontal="center" vertical="center"/>
      <protection hidden="1"/>
    </xf>
    <xf numFmtId="0" fontId="5" fillId="9" borderId="0" xfId="0" applyFont="1" applyFill="1" applyBorder="1" applyAlignment="1" applyProtection="1">
      <alignment horizontal="center" vertical="center"/>
      <protection hidden="1"/>
    </xf>
    <xf numFmtId="0" fontId="0" fillId="0" borderId="1"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5" xfId="0" applyBorder="1" applyAlignment="1" applyProtection="1">
      <alignment horizontal="center" vertical="center"/>
      <protection hidden="1"/>
    </xf>
    <xf numFmtId="0" fontId="0" fillId="0" borderId="7" xfId="0" applyBorder="1" applyAlignment="1" applyProtection="1">
      <alignment horizontal="center" vertical="center"/>
      <protection hidden="1"/>
    </xf>
    <xf numFmtId="0" fontId="26" fillId="0" borderId="0" xfId="0" applyFont="1" applyBorder="1" applyAlignment="1" applyProtection="1">
      <alignment horizontal="center" vertical="center"/>
      <protection hidden="1"/>
    </xf>
    <xf numFmtId="0" fontId="26" fillId="0" borderId="4" xfId="0" applyFont="1" applyBorder="1" applyAlignment="1" applyProtection="1">
      <alignment horizontal="center" vertical="center"/>
      <protection hidden="1"/>
    </xf>
    <xf numFmtId="0" fontId="1" fillId="0" borderId="23" xfId="0" applyFont="1" applyBorder="1" applyAlignment="1" applyProtection="1">
      <alignment horizontal="center"/>
      <protection hidden="1"/>
    </xf>
    <xf numFmtId="0" fontId="1" fillId="0" borderId="24" xfId="0" applyFont="1" applyBorder="1" applyAlignment="1" applyProtection="1">
      <alignment horizontal="center"/>
      <protection hidden="1"/>
    </xf>
    <xf numFmtId="0" fontId="0" fillId="0" borderId="0" xfId="0" applyBorder="1" applyAlignment="1" applyProtection="1">
      <alignment horizontal="center" vertical="center" wrapText="1"/>
      <protection hidden="1"/>
    </xf>
    <xf numFmtId="0" fontId="0" fillId="0" borderId="0" xfId="0" applyBorder="1" applyAlignment="1" applyProtection="1">
      <alignment horizontal="center" vertical="center"/>
      <protection hidden="1"/>
    </xf>
    <xf numFmtId="0" fontId="7" fillId="0" borderId="16" xfId="0" applyFont="1" applyBorder="1" applyAlignment="1" applyProtection="1">
      <alignment horizontal="right" vertical="center"/>
      <protection hidden="1"/>
    </xf>
    <xf numFmtId="0" fontId="0" fillId="0" borderId="16" xfId="0" applyBorder="1" applyAlignment="1">
      <alignment vertical="center"/>
    </xf>
    <xf numFmtId="0" fontId="7" fillId="0" borderId="14" xfId="0" applyFont="1" applyBorder="1" applyAlignment="1" applyProtection="1">
      <alignment horizontal="right" vertical="center"/>
      <protection hidden="1"/>
    </xf>
    <xf numFmtId="0" fontId="0" fillId="0" borderId="14" xfId="0" applyBorder="1" applyAlignment="1"/>
    <xf numFmtId="0" fontId="0" fillId="0" borderId="14" xfId="0" applyBorder="1" applyAlignment="1">
      <alignment vertical="center"/>
    </xf>
    <xf numFmtId="0" fontId="7" fillId="0" borderId="16" xfId="0" applyFont="1" applyBorder="1" applyAlignment="1" applyProtection="1">
      <alignment horizontal="right"/>
      <protection hidden="1"/>
    </xf>
    <xf numFmtId="0" fontId="0" fillId="0" borderId="16" xfId="0" applyBorder="1" applyAlignment="1"/>
    <xf numFmtId="0" fontId="0" fillId="0" borderId="16" xfId="0" applyBorder="1" applyAlignment="1">
      <alignment horizontal="left"/>
    </xf>
    <xf numFmtId="0" fontId="0" fillId="0" borderId="31" xfId="0" applyBorder="1" applyAlignment="1">
      <alignment horizontal="left"/>
    </xf>
    <xf numFmtId="0" fontId="0" fillId="0" borderId="18" xfId="0" applyBorder="1" applyAlignment="1">
      <alignment horizontal="left"/>
    </xf>
  </cellXfs>
  <cellStyles count="59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6" builtinId="9" hidden="1"/>
    <cellStyle name="Followed Hyperlink" xfId="458" builtinId="9" hidden="1"/>
    <cellStyle name="Followed Hyperlink" xfId="460" builtinId="9" hidden="1"/>
    <cellStyle name="Followed Hyperlink" xfId="462" builtinId="9" hidden="1"/>
    <cellStyle name="Followed Hyperlink" xfId="464" builtinId="9" hidden="1"/>
    <cellStyle name="Followed Hyperlink" xfId="466" builtinId="9" hidden="1"/>
    <cellStyle name="Followed Hyperlink" xfId="468" builtinId="9" hidden="1"/>
    <cellStyle name="Followed Hyperlink" xfId="470" builtinId="9" hidden="1"/>
    <cellStyle name="Followed Hyperlink" xfId="472" builtinId="9" hidden="1"/>
    <cellStyle name="Followed Hyperlink" xfId="474" builtinId="9" hidden="1"/>
    <cellStyle name="Followed Hyperlink" xfId="476" builtinId="9" hidden="1"/>
    <cellStyle name="Followed Hyperlink" xfId="478" builtinId="9" hidden="1"/>
    <cellStyle name="Followed Hyperlink" xfId="480" builtinId="9" hidden="1"/>
    <cellStyle name="Followed Hyperlink" xfId="482" builtinId="9" hidden="1"/>
    <cellStyle name="Followed Hyperlink" xfId="484" builtinId="9" hidden="1"/>
    <cellStyle name="Followed Hyperlink" xfId="486" builtinId="9" hidden="1"/>
    <cellStyle name="Followed Hyperlink" xfId="488" builtinId="9" hidden="1"/>
    <cellStyle name="Followed Hyperlink" xfId="490" builtinId="9" hidden="1"/>
    <cellStyle name="Followed Hyperlink" xfId="492" builtinId="9" hidden="1"/>
    <cellStyle name="Followed Hyperlink" xfId="494" builtinId="9" hidden="1"/>
    <cellStyle name="Followed Hyperlink" xfId="496" builtinId="9" hidden="1"/>
    <cellStyle name="Followed Hyperlink" xfId="498" builtinId="9" hidden="1"/>
    <cellStyle name="Followed Hyperlink" xfId="500" builtinId="9" hidden="1"/>
    <cellStyle name="Followed Hyperlink" xfId="502" builtinId="9" hidden="1"/>
    <cellStyle name="Followed Hyperlink" xfId="504" builtinId="9" hidden="1"/>
    <cellStyle name="Followed Hyperlink" xfId="506" builtinId="9" hidden="1"/>
    <cellStyle name="Followed Hyperlink" xfId="508" builtinId="9" hidden="1"/>
    <cellStyle name="Followed Hyperlink" xfId="510" builtinId="9" hidden="1"/>
    <cellStyle name="Followed Hyperlink" xfId="512" builtinId="9" hidden="1"/>
    <cellStyle name="Followed Hyperlink" xfId="514" builtinId="9" hidden="1"/>
    <cellStyle name="Followed Hyperlink" xfId="516" builtinId="9" hidden="1"/>
    <cellStyle name="Followed Hyperlink" xfId="518" builtinId="9" hidden="1"/>
    <cellStyle name="Followed Hyperlink" xfId="520" builtinId="9" hidden="1"/>
    <cellStyle name="Followed Hyperlink" xfId="522" builtinId="9" hidden="1"/>
    <cellStyle name="Followed Hyperlink" xfId="524" builtinId="9" hidden="1"/>
    <cellStyle name="Followed Hyperlink" xfId="526" builtinId="9" hidden="1"/>
    <cellStyle name="Followed Hyperlink" xfId="528" builtinId="9" hidden="1"/>
    <cellStyle name="Followed Hyperlink" xfId="530" builtinId="9" hidden="1"/>
    <cellStyle name="Followed Hyperlink" xfId="532" builtinId="9" hidden="1"/>
    <cellStyle name="Followed Hyperlink" xfId="534" builtinId="9" hidden="1"/>
    <cellStyle name="Followed Hyperlink" xfId="536" builtinId="9" hidden="1"/>
    <cellStyle name="Followed Hyperlink" xfId="538" builtinId="9" hidden="1"/>
    <cellStyle name="Followed Hyperlink" xfId="540" builtinId="9" hidden="1"/>
    <cellStyle name="Followed Hyperlink" xfId="542" builtinId="9" hidden="1"/>
    <cellStyle name="Followed Hyperlink" xfId="544" builtinId="9" hidden="1"/>
    <cellStyle name="Followed Hyperlink" xfId="546" builtinId="9" hidden="1"/>
    <cellStyle name="Followed Hyperlink" xfId="548" builtinId="9" hidden="1"/>
    <cellStyle name="Followed Hyperlink" xfId="550" builtinId="9" hidden="1"/>
    <cellStyle name="Followed Hyperlink" xfId="552" builtinId="9" hidden="1"/>
    <cellStyle name="Followed Hyperlink" xfId="554" builtinId="9" hidden="1"/>
    <cellStyle name="Followed Hyperlink" xfId="556" builtinId="9" hidden="1"/>
    <cellStyle name="Followed Hyperlink" xfId="558" builtinId="9" hidden="1"/>
    <cellStyle name="Followed Hyperlink" xfId="560" builtinId="9" hidden="1"/>
    <cellStyle name="Followed Hyperlink" xfId="562" builtinId="9" hidden="1"/>
    <cellStyle name="Followed Hyperlink" xfId="564" builtinId="9" hidden="1"/>
    <cellStyle name="Followed Hyperlink" xfId="566" builtinId="9" hidden="1"/>
    <cellStyle name="Followed Hyperlink" xfId="568" builtinId="9" hidden="1"/>
    <cellStyle name="Followed Hyperlink" xfId="570" builtinId="9" hidden="1"/>
    <cellStyle name="Followed Hyperlink" xfId="572" builtinId="9" hidden="1"/>
    <cellStyle name="Followed Hyperlink" xfId="574" builtinId="9" hidden="1"/>
    <cellStyle name="Followed Hyperlink" xfId="576" builtinId="9" hidden="1"/>
    <cellStyle name="Followed Hyperlink" xfId="578" builtinId="9" hidden="1"/>
    <cellStyle name="Followed Hyperlink" xfId="580" builtinId="9" hidden="1"/>
    <cellStyle name="Followed Hyperlink" xfId="582" builtinId="9" hidden="1"/>
    <cellStyle name="Followed Hyperlink" xfId="584" builtinId="9" hidden="1"/>
    <cellStyle name="Followed Hyperlink" xfId="586" builtinId="9" hidden="1"/>
    <cellStyle name="Followed Hyperlink" xfId="588" builtinId="9" hidden="1"/>
    <cellStyle name="Followed Hyperlink" xfId="590" builtinId="9" hidden="1"/>
    <cellStyle name="Followed Hyperlink" xfId="592" builtinId="9" hidden="1"/>
    <cellStyle name="Followed Hyperlink" xfId="594" builtinId="9" hidden="1"/>
    <cellStyle name="Followed Hyperlink" xfId="596" builtinId="9" hidden="1"/>
    <cellStyle name="Followed Hyperlink" xfId="59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Hyperlink" xfId="431"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5" builtinId="8" hidden="1"/>
    <cellStyle name="Hyperlink" xfId="457" builtinId="8" hidden="1"/>
    <cellStyle name="Hyperlink" xfId="459" builtinId="8" hidden="1"/>
    <cellStyle name="Hyperlink" xfId="461" builtinId="8" hidden="1"/>
    <cellStyle name="Hyperlink" xfId="463" builtinId="8" hidden="1"/>
    <cellStyle name="Hyperlink" xfId="465" builtinId="8" hidden="1"/>
    <cellStyle name="Hyperlink" xfId="467" builtinId="8" hidden="1"/>
    <cellStyle name="Hyperlink" xfId="469" builtinId="8" hidden="1"/>
    <cellStyle name="Hyperlink" xfId="471" builtinId="8" hidden="1"/>
    <cellStyle name="Hyperlink" xfId="473" builtinId="8" hidden="1"/>
    <cellStyle name="Hyperlink" xfId="475" builtinId="8" hidden="1"/>
    <cellStyle name="Hyperlink" xfId="477" builtinId="8" hidden="1"/>
    <cellStyle name="Hyperlink" xfId="479" builtinId="8" hidden="1"/>
    <cellStyle name="Hyperlink" xfId="481" builtinId="8" hidden="1"/>
    <cellStyle name="Hyperlink" xfId="483" builtinId="8" hidden="1"/>
    <cellStyle name="Hyperlink" xfId="485" builtinId="8" hidden="1"/>
    <cellStyle name="Hyperlink" xfId="487" builtinId="8" hidden="1"/>
    <cellStyle name="Hyperlink" xfId="489" builtinId="8" hidden="1"/>
    <cellStyle name="Hyperlink" xfId="491" builtinId="8" hidden="1"/>
    <cellStyle name="Hyperlink" xfId="493" builtinId="8" hidden="1"/>
    <cellStyle name="Hyperlink" xfId="495" builtinId="8" hidden="1"/>
    <cellStyle name="Hyperlink" xfId="497" builtinId="8" hidden="1"/>
    <cellStyle name="Hyperlink" xfId="499" builtinId="8" hidden="1"/>
    <cellStyle name="Hyperlink" xfId="501" builtinId="8" hidden="1"/>
    <cellStyle name="Hyperlink" xfId="503" builtinId="8" hidden="1"/>
    <cellStyle name="Hyperlink" xfId="505" builtinId="8" hidden="1"/>
    <cellStyle name="Hyperlink" xfId="507" builtinId="8" hidden="1"/>
    <cellStyle name="Hyperlink" xfId="509" builtinId="8" hidden="1"/>
    <cellStyle name="Hyperlink" xfId="511" builtinId="8" hidden="1"/>
    <cellStyle name="Hyperlink" xfId="513" builtinId="8" hidden="1"/>
    <cellStyle name="Hyperlink" xfId="515" builtinId="8" hidden="1"/>
    <cellStyle name="Hyperlink" xfId="517" builtinId="8" hidden="1"/>
    <cellStyle name="Hyperlink" xfId="519" builtinId="8" hidden="1"/>
    <cellStyle name="Hyperlink" xfId="521" builtinId="8" hidden="1"/>
    <cellStyle name="Hyperlink" xfId="523" builtinId="8" hidden="1"/>
    <cellStyle name="Hyperlink" xfId="525" builtinId="8" hidden="1"/>
    <cellStyle name="Hyperlink" xfId="527" builtinId="8" hidden="1"/>
    <cellStyle name="Hyperlink" xfId="529" builtinId="8" hidden="1"/>
    <cellStyle name="Hyperlink" xfId="531" builtinId="8" hidden="1"/>
    <cellStyle name="Hyperlink" xfId="533" builtinId="8" hidden="1"/>
    <cellStyle name="Hyperlink" xfId="535" builtinId="8" hidden="1"/>
    <cellStyle name="Hyperlink" xfId="537" builtinId="8" hidden="1"/>
    <cellStyle name="Hyperlink" xfId="539" builtinId="8" hidden="1"/>
    <cellStyle name="Hyperlink" xfId="541" builtinId="8" hidden="1"/>
    <cellStyle name="Hyperlink" xfId="543" builtinId="8" hidden="1"/>
    <cellStyle name="Hyperlink" xfId="545" builtinId="8" hidden="1"/>
    <cellStyle name="Hyperlink" xfId="547" builtinId="8" hidden="1"/>
    <cellStyle name="Hyperlink" xfId="549" builtinId="8" hidden="1"/>
    <cellStyle name="Hyperlink" xfId="551" builtinId="8" hidden="1"/>
    <cellStyle name="Hyperlink" xfId="553" builtinId="8" hidden="1"/>
    <cellStyle name="Hyperlink" xfId="555" builtinId="8" hidden="1"/>
    <cellStyle name="Hyperlink" xfId="557" builtinId="8" hidden="1"/>
    <cellStyle name="Hyperlink" xfId="559" builtinId="8" hidden="1"/>
    <cellStyle name="Hyperlink" xfId="561" builtinId="8" hidden="1"/>
    <cellStyle name="Hyperlink" xfId="563" builtinId="8" hidden="1"/>
    <cellStyle name="Hyperlink" xfId="565" builtinId="8" hidden="1"/>
    <cellStyle name="Hyperlink" xfId="567" builtinId="8" hidden="1"/>
    <cellStyle name="Hyperlink" xfId="569" builtinId="8" hidden="1"/>
    <cellStyle name="Hyperlink" xfId="571" builtinId="8" hidden="1"/>
    <cellStyle name="Hyperlink" xfId="573" builtinId="8" hidden="1"/>
    <cellStyle name="Hyperlink" xfId="575" builtinId="8" hidden="1"/>
    <cellStyle name="Hyperlink" xfId="577" builtinId="8" hidden="1"/>
    <cellStyle name="Hyperlink" xfId="579" builtinId="8" hidden="1"/>
    <cellStyle name="Hyperlink" xfId="581" builtinId="8" hidden="1"/>
    <cellStyle name="Hyperlink" xfId="583" builtinId="8" hidden="1"/>
    <cellStyle name="Hyperlink" xfId="585" builtinId="8" hidden="1"/>
    <cellStyle name="Hyperlink" xfId="587" builtinId="8" hidden="1"/>
    <cellStyle name="Hyperlink" xfId="589" builtinId="8" hidden="1"/>
    <cellStyle name="Hyperlink" xfId="591" builtinId="8" hidden="1"/>
    <cellStyle name="Hyperlink" xfId="593" builtinId="8" hidden="1"/>
    <cellStyle name="Hyperlink" xfId="595" builtinId="8" hidden="1"/>
    <cellStyle name="Hyperlink" xfId="597" builtinId="8" hidden="1"/>
    <cellStyle name="Normal" xfId="0" builtinId="0"/>
  </cellStyles>
  <dxfs count="5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numFmt numFmtId="164" formatCode="0.0"/>
    </dxf>
    <dxf>
      <font>
        <color rgb="FFFF0000"/>
      </font>
      <numFmt numFmtId="164" formatCode="0.0"/>
    </dxf>
    <dxf>
      <font>
        <color rgb="FFFF0000"/>
      </font>
      <numFmt numFmtId="164" formatCode="0.0"/>
    </dxf>
    <dxf>
      <font>
        <color rgb="FFFF0000"/>
      </font>
      <numFmt numFmtId="164" formatCode="0.0"/>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00B05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00B050"/>
      </font>
    </dxf>
    <dxf>
      <font>
        <color rgb="FFFF0000"/>
      </font>
    </dxf>
    <dxf>
      <font>
        <color rgb="FF00B050"/>
      </font>
    </dxf>
    <dxf>
      <font>
        <color rgb="FFFF0000"/>
      </font>
    </dxf>
  </dxfs>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dr:twoCellAnchor>
    <xdr:from>
      <xdr:col>26</xdr:col>
      <xdr:colOff>58413</xdr:colOff>
      <xdr:row>20</xdr:row>
      <xdr:rowOff>35553</xdr:rowOff>
    </xdr:from>
    <xdr:to>
      <xdr:col>30</xdr:col>
      <xdr:colOff>33866</xdr:colOff>
      <xdr:row>23</xdr:row>
      <xdr:rowOff>118533</xdr:rowOff>
    </xdr:to>
    <xdr:sp macro="" textlink="">
      <xdr:nvSpPr>
        <xdr:cNvPr id="3" name="TextBox 2"/>
        <xdr:cNvSpPr txBox="1"/>
      </xdr:nvSpPr>
      <xdr:spPr>
        <a:xfrm>
          <a:off x="10049080" y="3760886"/>
          <a:ext cx="2007453" cy="6417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lvl="0" algn="l">
            <a:lnSpc>
              <a:spcPts val="800"/>
            </a:lnSpc>
          </a:pPr>
          <a:r>
            <a:rPr lang="en-US" sz="800">
              <a:latin typeface="Arial" pitchFamily="34" charset="0"/>
              <a:cs typeface="Arial" pitchFamily="34" charset="0"/>
            </a:rPr>
            <a:t>This software is provided free of charge as a demonstration tool only. Its use does not constitute a warranty or certification by IDEAlliance as to the accuracy or quality of a proof.</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146050</xdr:colOff>
      <xdr:row>1</xdr:row>
      <xdr:rowOff>0</xdr:rowOff>
    </xdr:from>
    <xdr:to>
      <xdr:col>18</xdr:col>
      <xdr:colOff>39370</xdr:colOff>
      <xdr:row>7</xdr:row>
      <xdr:rowOff>73065</xdr:rowOff>
    </xdr:to>
    <xdr:sp macro="" textlink="">
      <xdr:nvSpPr>
        <xdr:cNvPr id="2" name="TextBox 1"/>
        <xdr:cNvSpPr txBox="1"/>
      </xdr:nvSpPr>
      <xdr:spPr>
        <a:xfrm>
          <a:off x="133350" y="161925"/>
          <a:ext cx="10113645" cy="1057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000" b="1">
              <a:solidFill>
                <a:sysClr val="windowText" lastClr="000000"/>
              </a:solidFill>
              <a:latin typeface="Arial" pitchFamily="34" charset="0"/>
              <a:cs typeface="Arial" pitchFamily="34" charset="0"/>
            </a:rPr>
            <a:t>Before using this tool, please READ THIS NOTICE</a:t>
          </a:r>
        </a:p>
        <a:p>
          <a:pPr algn="l"/>
          <a:r>
            <a:rPr lang="en-US" sz="1000" smtClean="0">
              <a:solidFill>
                <a:schemeClr val="dk1"/>
              </a:solidFill>
              <a:latin typeface="Arial" pitchFamily="34" charset="0"/>
              <a:ea typeface="+mn-ea"/>
              <a:cs typeface="Arial" pitchFamily="34" charset="0"/>
            </a:rPr>
            <a:t>Legal Notice: This product is intended for demonstration and quality control only and does not constitute a part of any official certification program of IDEAlliance. The authors of this software and IDEAlliance accept no responsibility for damages resulting from the use of this product and make no warranty or representation, either express or implied, including but not limited to, any implied warranty</a:t>
          </a:r>
          <a:r>
            <a:rPr lang="en-US" sz="1000" baseline="0" smtClean="0">
              <a:solidFill>
                <a:schemeClr val="dk1"/>
              </a:solidFill>
              <a:latin typeface="Arial" pitchFamily="34" charset="0"/>
              <a:ea typeface="+mn-ea"/>
              <a:cs typeface="Arial" pitchFamily="34" charset="0"/>
            </a:rPr>
            <a:t> </a:t>
          </a:r>
          <a:r>
            <a:rPr lang="en-US" sz="1000" smtClean="0">
              <a:solidFill>
                <a:schemeClr val="dk1"/>
              </a:solidFill>
              <a:latin typeface="Arial" pitchFamily="34" charset="0"/>
              <a:ea typeface="+mn-ea"/>
              <a:cs typeface="Arial" pitchFamily="34" charset="0"/>
            </a:rPr>
            <a:t>of merchantability or fitness for a particular purpose. This software is provided "AS IS", and you, its user, assume all risks when using it. This software may be freely used and distributed for noncommercial uses only. Alteration or incorporation into commercial products without express written consent of its authors is strictly prohibited. </a:t>
          </a:r>
          <a:endParaRPr lang="en-US" sz="1000">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pageSetUpPr fitToPage="1"/>
  </sheetPr>
  <dimension ref="A1:IZ908"/>
  <sheetViews>
    <sheetView showGridLines="0" tabSelected="1" workbookViewId="0">
      <selection activeCell="B28" sqref="B28:J28"/>
    </sheetView>
  </sheetViews>
  <sheetFormatPr baseColWidth="10" defaultColWidth="10.83203125" defaultRowHeight="12" x14ac:dyDescent="0"/>
  <cols>
    <col min="1" max="1" width="2.6640625" style="6" customWidth="1"/>
    <col min="2" max="7" width="3.6640625" style="6" customWidth="1"/>
    <col min="8" max="15" width="7.33203125" style="6" customWidth="1"/>
    <col min="16" max="16" width="9" style="6" customWidth="1"/>
    <col min="17" max="17" width="2.6640625" style="6" customWidth="1"/>
    <col min="18" max="19" width="4.33203125" style="6" customWidth="1"/>
    <col min="20" max="20" width="2.6640625" style="6" customWidth="1"/>
    <col min="21" max="22" width="4.33203125" style="6" customWidth="1"/>
    <col min="23" max="23" width="2.6640625" style="6" customWidth="1"/>
    <col min="24" max="24" width="3.5" style="6" customWidth="1"/>
    <col min="25" max="25" width="5.5" style="6" customWidth="1"/>
    <col min="26" max="26" width="3.1640625" style="6" customWidth="1"/>
    <col min="27" max="27" width="1.33203125" style="6" customWidth="1"/>
    <col min="28" max="28" width="10.33203125" style="6" customWidth="1"/>
    <col min="29" max="29" width="8" style="6" customWidth="1"/>
    <col min="30" max="30" width="8.6640625" style="6" customWidth="1"/>
    <col min="31" max="31" width="2.33203125" style="192" customWidth="1"/>
    <col min="32" max="32" width="1.83203125" style="192" customWidth="1"/>
    <col min="33" max="36" width="10.83203125" style="112" hidden="1" customWidth="1"/>
    <col min="37" max="56" width="10.83203125" style="107" hidden="1" customWidth="1"/>
    <col min="57" max="59" width="10.83203125" style="112" hidden="1" customWidth="1"/>
    <col min="60" max="62" width="10.83203125" style="107" hidden="1" customWidth="1"/>
    <col min="63" max="67" width="10.83203125" style="111" hidden="1" customWidth="1"/>
    <col min="68" max="93" width="10.83203125" style="107" hidden="1" customWidth="1"/>
    <col min="94" max="94" width="8.33203125" style="107" hidden="1" customWidth="1"/>
    <col min="95" max="95" width="13.1640625" style="107" hidden="1" customWidth="1"/>
    <col min="96" max="97" width="8.33203125" style="107" hidden="1" customWidth="1"/>
    <col min="98" max="98" width="13.1640625" style="107" hidden="1" customWidth="1"/>
    <col min="99" max="100" width="8.33203125" style="107" hidden="1" customWidth="1"/>
    <col min="101" max="101" width="13.1640625" style="107" hidden="1" customWidth="1"/>
    <col min="102" max="105" width="8.33203125" style="107" hidden="1" customWidth="1"/>
    <col min="106" max="106" width="13.1640625" style="107" hidden="1" customWidth="1"/>
    <col min="107" max="110" width="8.33203125" style="107" hidden="1" customWidth="1"/>
    <col min="111" max="114" width="8.33203125" style="112" hidden="1" customWidth="1"/>
    <col min="115" max="126" width="8.33203125" style="107" hidden="1" customWidth="1"/>
    <col min="127" max="127" width="8.33203125" style="257" customWidth="1"/>
    <col min="128" max="129" width="8.33203125" style="192" customWidth="1"/>
    <col min="130" max="133" width="8.33203125" style="70" customWidth="1"/>
    <col min="134" max="16384" width="10.83203125" style="70"/>
  </cols>
  <sheetData>
    <row r="1" spans="1:133" ht="14" customHeight="1">
      <c r="A1" s="70"/>
      <c r="B1" s="348" t="s">
        <v>271</v>
      </c>
      <c r="C1" s="348"/>
      <c r="D1" s="348"/>
      <c r="E1" s="348"/>
      <c r="F1" s="348"/>
      <c r="G1" s="348"/>
      <c r="H1" s="348"/>
      <c r="I1" s="348"/>
      <c r="J1" s="348"/>
      <c r="K1" s="348"/>
      <c r="L1" s="348"/>
      <c r="M1" s="348"/>
      <c r="N1" s="348"/>
      <c r="O1" s="80"/>
      <c r="P1" s="80"/>
      <c r="Q1" s="70"/>
      <c r="U1" s="70"/>
      <c r="V1" s="80"/>
      <c r="W1" s="80"/>
      <c r="X1" s="80"/>
      <c r="Y1" s="80"/>
      <c r="Z1" s="80"/>
      <c r="AA1" s="80"/>
      <c r="AB1" s="80"/>
      <c r="AC1" s="80"/>
      <c r="AD1" s="80"/>
      <c r="AE1" s="132"/>
      <c r="AF1" s="132"/>
      <c r="AG1" s="114" t="s">
        <v>0</v>
      </c>
      <c r="AH1" s="115"/>
      <c r="AI1" s="114" t="s">
        <v>154</v>
      </c>
      <c r="AJ1" s="115"/>
      <c r="AK1" s="114" t="s">
        <v>155</v>
      </c>
      <c r="AM1" s="116" t="s">
        <v>125</v>
      </c>
      <c r="AO1" s="108"/>
      <c r="AP1" s="108"/>
      <c r="AQ1" s="108"/>
      <c r="AR1" s="108"/>
      <c r="AS1" s="108"/>
      <c r="AT1" s="108"/>
      <c r="AU1" s="108"/>
      <c r="AV1" s="108"/>
      <c r="AW1" s="108"/>
      <c r="AX1" s="108"/>
      <c r="AY1" s="108"/>
      <c r="AZ1" s="108"/>
      <c r="BA1" s="108"/>
      <c r="BB1" s="108"/>
      <c r="BC1" s="108"/>
      <c r="BD1" s="108"/>
      <c r="BE1" s="109"/>
      <c r="BF1" s="109"/>
      <c r="BG1" s="109"/>
      <c r="BH1" s="108"/>
      <c r="BI1" s="108"/>
      <c r="BJ1" s="108"/>
      <c r="BK1" s="108"/>
      <c r="BL1" s="108"/>
      <c r="BM1" s="108"/>
      <c r="BN1" s="108"/>
      <c r="BO1" s="108"/>
      <c r="BP1" s="108"/>
      <c r="BQ1" s="108"/>
      <c r="BR1" s="108"/>
      <c r="BS1" s="108"/>
      <c r="BT1" s="108"/>
      <c r="BU1" s="108"/>
      <c r="BV1" s="108"/>
      <c r="BW1" s="108"/>
      <c r="BX1" s="108"/>
      <c r="BY1" s="108"/>
      <c r="BZ1" s="108"/>
      <c r="CA1" s="108"/>
      <c r="CB1" s="108"/>
      <c r="CC1" s="108"/>
      <c r="CD1" s="108"/>
      <c r="CE1" s="108"/>
      <c r="CF1" s="108"/>
      <c r="CG1" s="108"/>
      <c r="CH1" s="108"/>
      <c r="CI1" s="108"/>
      <c r="CJ1" s="108"/>
      <c r="CK1" s="108"/>
      <c r="CL1" s="108"/>
      <c r="CM1" s="108"/>
      <c r="CN1" s="108"/>
      <c r="CO1" s="108"/>
      <c r="CP1" s="108"/>
      <c r="CQ1" s="108"/>
      <c r="CR1" s="108"/>
      <c r="CS1" s="108"/>
      <c r="CT1" s="108"/>
      <c r="CU1" s="108"/>
      <c r="CV1" s="108"/>
      <c r="CW1" s="108"/>
      <c r="CX1" s="108"/>
      <c r="CY1" s="108"/>
      <c r="CZ1" s="109"/>
      <c r="DA1" s="109"/>
      <c r="DB1" s="109"/>
      <c r="DC1" s="109"/>
      <c r="DD1" s="109"/>
      <c r="DE1" s="109"/>
      <c r="DF1" s="109"/>
      <c r="DG1" s="108"/>
      <c r="DH1" s="108"/>
      <c r="DI1" s="108"/>
      <c r="DJ1" s="108"/>
      <c r="DK1" s="108"/>
      <c r="DL1" s="108"/>
      <c r="DM1" s="108"/>
      <c r="DN1" s="108"/>
      <c r="DO1" s="108"/>
      <c r="DP1" s="108"/>
      <c r="DQ1" s="108"/>
      <c r="DR1" s="108"/>
      <c r="DS1" s="108"/>
      <c r="DT1" s="108"/>
      <c r="DU1" s="108"/>
      <c r="DV1" s="108"/>
    </row>
    <row r="2" spans="1:133" ht="14" customHeight="1">
      <c r="A2" s="70" t="s">
        <v>9</v>
      </c>
      <c r="B2" s="348"/>
      <c r="C2" s="348"/>
      <c r="D2" s="348"/>
      <c r="E2" s="348"/>
      <c r="F2" s="348"/>
      <c r="G2" s="348"/>
      <c r="H2" s="348"/>
      <c r="I2" s="348"/>
      <c r="J2" s="348"/>
      <c r="K2" s="348"/>
      <c r="L2" s="348"/>
      <c r="M2" s="348"/>
      <c r="N2" s="348"/>
      <c r="O2" s="81"/>
      <c r="P2" s="89"/>
      <c r="Q2" s="67"/>
      <c r="U2" s="67"/>
      <c r="V2" s="67"/>
      <c r="W2" s="67"/>
      <c r="X2" s="68"/>
      <c r="Y2" s="68"/>
      <c r="Z2" s="68"/>
      <c r="AA2" s="68"/>
      <c r="AB2" s="68"/>
      <c r="AC2" s="78"/>
      <c r="AD2" s="78"/>
      <c r="AE2" s="133"/>
      <c r="AF2" s="133"/>
      <c r="AG2" s="115" t="s">
        <v>217</v>
      </c>
      <c r="AH2" s="115" t="s">
        <v>173</v>
      </c>
      <c r="AI2" s="110" t="s">
        <v>243</v>
      </c>
      <c r="AJ2" s="110" t="s">
        <v>171</v>
      </c>
      <c r="AK2" s="115" t="s">
        <v>246</v>
      </c>
      <c r="AM2" s="117" t="s">
        <v>45</v>
      </c>
      <c r="AO2" s="116"/>
      <c r="AS2" s="117"/>
      <c r="AT2" s="117"/>
      <c r="AU2" s="117"/>
      <c r="AV2" s="117"/>
      <c r="AW2" s="117"/>
      <c r="AX2" s="116"/>
      <c r="BE2" s="109"/>
      <c r="BF2" s="109"/>
      <c r="BG2" s="109"/>
      <c r="BH2" s="108"/>
      <c r="BI2" s="108"/>
      <c r="BJ2" s="108"/>
      <c r="BK2" s="108"/>
      <c r="BL2" s="108"/>
      <c r="BM2" s="108"/>
      <c r="BN2" s="108"/>
      <c r="BO2" s="108"/>
      <c r="BP2" s="108"/>
      <c r="BQ2" s="108"/>
      <c r="BR2" s="108"/>
      <c r="BS2" s="108"/>
      <c r="BT2" s="108"/>
      <c r="BU2" s="108"/>
      <c r="BV2" s="108"/>
      <c r="BW2" s="108"/>
      <c r="BX2" s="108"/>
      <c r="BY2" s="108"/>
      <c r="BZ2" s="108"/>
      <c r="CA2" s="108"/>
      <c r="CB2" s="108"/>
      <c r="CC2" s="108"/>
      <c r="CD2" s="108"/>
      <c r="CE2" s="108"/>
      <c r="CF2" s="108"/>
      <c r="CG2" s="108"/>
      <c r="CH2" s="108"/>
      <c r="CI2" s="108"/>
      <c r="CJ2" s="108"/>
      <c r="CK2" s="108"/>
      <c r="CL2" s="108"/>
      <c r="CM2" s="108"/>
      <c r="CN2" s="108"/>
      <c r="CO2" s="108"/>
      <c r="CP2" s="108"/>
      <c r="CQ2" s="108"/>
      <c r="CR2" s="108"/>
      <c r="CS2" s="108"/>
      <c r="CT2" s="108"/>
      <c r="CU2" s="108"/>
      <c r="CV2" s="108"/>
      <c r="CW2" s="108"/>
      <c r="CX2" s="108"/>
      <c r="CY2" s="109"/>
      <c r="CZ2" s="109"/>
      <c r="DA2" s="109"/>
      <c r="DB2" s="109"/>
      <c r="DC2" s="108"/>
      <c r="DD2" s="108"/>
      <c r="DE2" s="108"/>
      <c r="DF2" s="108"/>
      <c r="DG2" s="108"/>
      <c r="DH2" s="108"/>
      <c r="DI2" s="108"/>
      <c r="DJ2" s="108"/>
      <c r="DK2" s="108"/>
      <c r="DL2" s="108"/>
      <c r="DM2" s="108"/>
      <c r="DN2" s="108"/>
      <c r="DO2" s="108"/>
      <c r="DP2" s="108"/>
      <c r="DQ2" s="108"/>
      <c r="DR2" s="108"/>
      <c r="DS2" s="108"/>
      <c r="DT2" s="108"/>
      <c r="DU2" s="108"/>
    </row>
    <row r="3" spans="1:133" ht="14" customHeight="1">
      <c r="A3" s="70"/>
      <c r="B3" s="348"/>
      <c r="C3" s="348"/>
      <c r="D3" s="348"/>
      <c r="E3" s="348"/>
      <c r="F3" s="348"/>
      <c r="G3" s="348"/>
      <c r="H3" s="348"/>
      <c r="I3" s="348"/>
      <c r="J3" s="348"/>
      <c r="K3" s="348"/>
      <c r="L3" s="348"/>
      <c r="M3" s="348"/>
      <c r="N3" s="348"/>
      <c r="O3" s="81"/>
      <c r="P3" s="89"/>
      <c r="Q3" s="67"/>
      <c r="U3" s="67"/>
      <c r="V3" s="67"/>
      <c r="W3" s="67"/>
      <c r="X3" s="67"/>
      <c r="Y3" s="67"/>
      <c r="Z3" s="67"/>
      <c r="AA3" s="67"/>
      <c r="AB3" s="67"/>
      <c r="AC3" s="77"/>
      <c r="AD3" s="77"/>
      <c r="AE3" s="134"/>
      <c r="AF3" s="134"/>
      <c r="AG3" s="115" t="s">
        <v>261</v>
      </c>
      <c r="AH3" s="115" t="s">
        <v>174</v>
      </c>
      <c r="AI3" s="110" t="s">
        <v>244</v>
      </c>
      <c r="AJ3" s="110" t="s">
        <v>172</v>
      </c>
      <c r="AK3" s="115" t="s">
        <v>247</v>
      </c>
      <c r="AM3" s="118">
        <f ca="1">_xlfn.PERCENTILE.INC(CP14:CP97,0.95)</f>
        <v>0</v>
      </c>
      <c r="AO3" s="117"/>
      <c r="AS3" s="117"/>
      <c r="AT3" s="117"/>
      <c r="AU3" s="117"/>
      <c r="AV3" s="117"/>
      <c r="AW3" s="117"/>
      <c r="AX3" s="117"/>
      <c r="BE3" s="109"/>
      <c r="BF3" s="109"/>
      <c r="BG3" s="109"/>
      <c r="BH3" s="108"/>
      <c r="BI3" s="108"/>
      <c r="BJ3" s="108"/>
      <c r="BK3" s="108"/>
      <c r="BL3" s="108"/>
      <c r="BM3" s="108"/>
      <c r="BN3" s="108"/>
      <c r="BO3" s="108"/>
      <c r="BP3" s="108"/>
      <c r="BQ3" s="108"/>
      <c r="BR3" s="108"/>
      <c r="BS3" s="108"/>
      <c r="BT3" s="108"/>
      <c r="BU3" s="108"/>
      <c r="BV3" s="108"/>
      <c r="BW3" s="108"/>
      <c r="BX3" s="108"/>
      <c r="BY3" s="108"/>
      <c r="BZ3" s="108"/>
      <c r="CA3" s="108"/>
      <c r="CB3" s="108"/>
      <c r="CC3" s="108"/>
      <c r="CD3" s="108"/>
      <c r="CE3" s="108"/>
      <c r="CF3" s="108"/>
      <c r="CG3" s="108"/>
      <c r="CH3" s="108"/>
      <c r="CI3" s="108"/>
      <c r="CJ3" s="108"/>
      <c r="CK3" s="108"/>
      <c r="CL3" s="108"/>
      <c r="CM3" s="108"/>
      <c r="CN3" s="108"/>
      <c r="CO3" s="108"/>
      <c r="CP3" s="108"/>
      <c r="CQ3" s="108"/>
      <c r="CR3" s="108"/>
      <c r="CS3" s="108"/>
      <c r="CT3" s="108"/>
      <c r="CU3" s="108"/>
      <c r="CV3" s="108"/>
      <c r="CW3" s="108"/>
      <c r="CX3" s="108"/>
      <c r="CY3" s="109"/>
      <c r="CZ3" s="109"/>
      <c r="DA3" s="109"/>
      <c r="DB3" s="109"/>
      <c r="DC3" s="108"/>
      <c r="DD3" s="108"/>
      <c r="DE3" s="108"/>
      <c r="DF3" s="108"/>
      <c r="DG3" s="108"/>
      <c r="DH3" s="108"/>
      <c r="DI3" s="108"/>
      <c r="DJ3" s="108"/>
      <c r="DK3" s="108"/>
      <c r="DL3" s="108"/>
      <c r="DM3" s="108"/>
      <c r="DN3" s="108"/>
      <c r="DO3" s="108"/>
      <c r="DP3" s="108"/>
      <c r="DQ3" s="108"/>
      <c r="DR3" s="108"/>
      <c r="DS3" s="108"/>
      <c r="DT3" s="108"/>
      <c r="DU3" s="108"/>
    </row>
    <row r="4" spans="1:133" ht="14" customHeight="1">
      <c r="A4" s="70"/>
      <c r="B4" s="82" t="s">
        <v>268</v>
      </c>
      <c r="C4" s="83"/>
      <c r="D4" s="207"/>
      <c r="E4" s="207"/>
      <c r="F4" s="207"/>
      <c r="G4" s="207"/>
      <c r="H4" s="207"/>
      <c r="I4" s="84"/>
      <c r="J4" s="84"/>
      <c r="K4" s="84"/>
      <c r="L4" s="84"/>
      <c r="M4" s="84"/>
      <c r="N4" s="84"/>
      <c r="O4" s="84"/>
      <c r="U4" s="67"/>
      <c r="V4" s="67"/>
      <c r="W4" s="67"/>
      <c r="X4" s="67"/>
      <c r="Y4" s="67"/>
      <c r="Z4" s="67"/>
      <c r="AA4" s="67"/>
      <c r="AB4" s="67"/>
      <c r="AC4" s="67"/>
      <c r="AD4" s="77"/>
      <c r="AE4" s="134"/>
      <c r="AF4" s="134"/>
      <c r="AG4" s="115" t="s">
        <v>219</v>
      </c>
      <c r="AH4" s="115" t="s">
        <v>175</v>
      </c>
      <c r="AI4" s="114" t="s">
        <v>153</v>
      </c>
      <c r="AJ4" s="110"/>
      <c r="AK4" s="107" t="s">
        <v>262</v>
      </c>
      <c r="AM4" s="108" t="s">
        <v>134</v>
      </c>
      <c r="AN4" s="119" t="s">
        <v>109</v>
      </c>
      <c r="AO4" s="120"/>
      <c r="AS4" s="118"/>
      <c r="AT4" s="118"/>
      <c r="AU4" s="118"/>
      <c r="AV4" s="118"/>
      <c r="AW4" s="118"/>
      <c r="AX4" s="118"/>
      <c r="BE4" s="109"/>
      <c r="BF4" s="109"/>
      <c r="BG4" s="109"/>
      <c r="BH4" s="108"/>
      <c r="BI4" s="108"/>
      <c r="BJ4" s="108"/>
      <c r="BK4" s="108"/>
      <c r="BL4" s="108"/>
      <c r="BM4" s="108"/>
      <c r="BN4" s="108"/>
      <c r="BO4" s="108"/>
      <c r="BP4" s="108"/>
      <c r="BQ4" s="108"/>
      <c r="BR4" s="108"/>
      <c r="BS4" s="108"/>
      <c r="BT4" s="108"/>
      <c r="BU4" s="108"/>
      <c r="BV4" s="108"/>
      <c r="BW4" s="108"/>
      <c r="BX4" s="108"/>
      <c r="BY4" s="108"/>
      <c r="BZ4" s="108"/>
      <c r="CA4" s="108"/>
      <c r="CB4" s="108"/>
      <c r="CC4" s="108"/>
      <c r="CD4" s="108"/>
      <c r="CE4" s="108"/>
      <c r="CF4" s="108"/>
      <c r="CG4" s="108"/>
      <c r="CH4" s="108"/>
      <c r="CI4" s="108"/>
      <c r="CJ4" s="108"/>
      <c r="CK4" s="108"/>
      <c r="CL4" s="108"/>
      <c r="CM4" s="108"/>
      <c r="CN4" s="108"/>
      <c r="CO4" s="108"/>
      <c r="CP4" s="108"/>
      <c r="CQ4" s="108"/>
      <c r="CR4" s="108"/>
      <c r="CS4" s="108"/>
      <c r="CT4" s="108"/>
      <c r="CU4" s="108"/>
      <c r="CV4" s="108"/>
      <c r="CW4" s="108"/>
      <c r="CX4" s="108"/>
      <c r="CY4" s="109"/>
      <c r="CZ4" s="109"/>
      <c r="DA4" s="109"/>
      <c r="DB4" s="109"/>
      <c r="DC4" s="108"/>
      <c r="DD4" s="108"/>
      <c r="DE4" s="108"/>
      <c r="DF4" s="108"/>
      <c r="DG4" s="108"/>
      <c r="DH4" s="108"/>
      <c r="DI4" s="108"/>
      <c r="DJ4" s="108"/>
      <c r="DK4" s="108"/>
      <c r="DL4" s="108"/>
      <c r="DM4" s="108"/>
      <c r="DN4" s="108"/>
      <c r="DO4" s="108"/>
      <c r="DP4" s="108"/>
      <c r="DQ4" s="108"/>
      <c r="DR4" s="108"/>
      <c r="DS4" s="108"/>
      <c r="DT4" s="108"/>
      <c r="DU4" s="108"/>
    </row>
    <row r="5" spans="1:133" ht="14" customHeight="1">
      <c r="A5" s="70"/>
      <c r="B5" s="176" t="s">
        <v>250</v>
      </c>
      <c r="C5" s="85"/>
      <c r="D5" s="207"/>
      <c r="E5" s="176" t="s">
        <v>251</v>
      </c>
      <c r="F5" s="207"/>
      <c r="G5" s="207"/>
      <c r="H5" s="207"/>
      <c r="I5" s="84"/>
      <c r="J5" s="84"/>
      <c r="K5" s="84"/>
      <c r="L5" s="84"/>
      <c r="M5" s="84"/>
      <c r="N5" s="84"/>
      <c r="O5" s="84"/>
      <c r="U5" s="67"/>
      <c r="V5" s="67"/>
      <c r="W5" s="67"/>
      <c r="X5" s="67"/>
      <c r="Y5" s="67"/>
      <c r="Z5" s="67"/>
      <c r="AA5" s="67"/>
      <c r="AB5" s="67"/>
      <c r="AC5" s="67"/>
      <c r="AD5" s="77"/>
      <c r="AE5" s="134"/>
      <c r="AF5" s="134"/>
      <c r="AG5" s="115" t="s">
        <v>212</v>
      </c>
      <c r="AH5" s="115" t="s">
        <v>176</v>
      </c>
      <c r="AI5" s="110" t="s">
        <v>150</v>
      </c>
      <c r="AJ5" s="110" t="s">
        <v>168</v>
      </c>
      <c r="AK5" s="107" t="s">
        <v>248</v>
      </c>
      <c r="AM5" s="108" t="s">
        <v>265</v>
      </c>
      <c r="AN5" s="121">
        <f>IF(Y35="CMC 2:1",2,1)</f>
        <v>2</v>
      </c>
      <c r="BE5" s="109"/>
      <c r="BF5" s="109"/>
      <c r="BG5" s="109"/>
      <c r="BH5" s="108"/>
      <c r="BI5" s="108"/>
      <c r="BJ5" s="108"/>
      <c r="BK5" s="108"/>
      <c r="BL5" s="108"/>
      <c r="BM5" s="108"/>
      <c r="BN5" s="108"/>
      <c r="BO5" s="108"/>
      <c r="BP5" s="108"/>
      <c r="BQ5" s="108"/>
      <c r="BR5" s="108"/>
      <c r="BS5" s="108"/>
      <c r="BT5" s="108"/>
      <c r="BU5" s="108"/>
      <c r="BV5" s="108"/>
      <c r="BW5" s="108"/>
      <c r="BX5" s="108"/>
      <c r="BY5" s="108"/>
      <c r="BZ5" s="108"/>
      <c r="CA5" s="108"/>
      <c r="CB5" s="108"/>
      <c r="CC5" s="108"/>
      <c r="CD5" s="108"/>
      <c r="CE5" s="108"/>
      <c r="CF5" s="108"/>
      <c r="CG5" s="108"/>
      <c r="CH5" s="108"/>
      <c r="CI5" s="108"/>
      <c r="CJ5" s="108"/>
      <c r="CK5" s="108"/>
      <c r="CL5" s="108"/>
      <c r="CM5" s="108"/>
      <c r="CN5" s="108"/>
      <c r="CO5" s="108"/>
      <c r="CP5" s="108"/>
      <c r="CQ5" s="108"/>
      <c r="CR5" s="108"/>
      <c r="CS5" s="108"/>
      <c r="CT5" s="108"/>
      <c r="CU5" s="108"/>
      <c r="CV5" s="108"/>
      <c r="CW5" s="108"/>
      <c r="CX5" s="108"/>
      <c r="CY5" s="109"/>
      <c r="CZ5" s="109"/>
      <c r="DA5" s="109"/>
      <c r="DB5" s="109"/>
      <c r="DC5" s="108"/>
      <c r="DD5" s="108"/>
      <c r="DE5" s="108"/>
      <c r="DF5" s="108"/>
      <c r="DG5" s="108"/>
      <c r="DH5" s="108"/>
      <c r="DI5" s="108"/>
      <c r="DJ5" s="108"/>
      <c r="DK5" s="108"/>
      <c r="DL5" s="108"/>
      <c r="DM5" s="108"/>
      <c r="DN5" s="108"/>
      <c r="DO5" s="108"/>
      <c r="DP5" s="108"/>
      <c r="DQ5" s="108"/>
      <c r="DR5" s="108"/>
      <c r="DS5" s="108"/>
      <c r="DT5" s="108"/>
      <c r="DU5" s="108"/>
    </row>
    <row r="6" spans="1:133" ht="14" customHeight="1">
      <c r="A6" s="90"/>
      <c r="C6" s="85"/>
      <c r="D6" s="86"/>
      <c r="E6" s="86" t="s">
        <v>252</v>
      </c>
      <c r="F6" s="86"/>
      <c r="G6" s="86"/>
      <c r="H6" s="86"/>
      <c r="I6" s="84"/>
      <c r="J6" s="84"/>
      <c r="K6" s="84"/>
      <c r="L6" s="84"/>
      <c r="M6" s="84"/>
      <c r="N6" s="84"/>
      <c r="O6" s="84"/>
      <c r="U6" s="67"/>
      <c r="V6" s="67"/>
      <c r="W6" s="67"/>
      <c r="X6" s="67"/>
      <c r="Y6" s="67"/>
      <c r="Z6" s="67"/>
      <c r="AA6" s="67"/>
      <c r="AB6" s="67"/>
      <c r="AC6" s="67"/>
      <c r="AD6" s="77"/>
      <c r="AE6" s="134"/>
      <c r="AF6" s="134"/>
      <c r="AG6" s="115" t="s">
        <v>213</v>
      </c>
      <c r="AH6" s="115" t="s">
        <v>177</v>
      </c>
      <c r="AI6" s="110" t="s">
        <v>151</v>
      </c>
      <c r="AJ6" s="110" t="s">
        <v>169</v>
      </c>
      <c r="AM6" s="108" t="s">
        <v>264</v>
      </c>
      <c r="AN6" s="121">
        <v>1</v>
      </c>
      <c r="AZ6" s="108"/>
      <c r="BA6" s="109"/>
      <c r="BE6" s="109"/>
      <c r="BF6" s="109"/>
      <c r="BG6" s="109"/>
      <c r="BH6" s="108"/>
      <c r="BI6" s="108"/>
      <c r="BJ6" s="108"/>
      <c r="BK6" s="108"/>
      <c r="BL6" s="108"/>
      <c r="BM6" s="108"/>
      <c r="BN6" s="108"/>
      <c r="BO6" s="108"/>
      <c r="BP6" s="108"/>
      <c r="BQ6" s="108"/>
      <c r="BR6" s="108"/>
      <c r="BS6" s="108"/>
      <c r="BT6" s="108"/>
      <c r="BU6" s="108"/>
      <c r="BV6" s="108"/>
      <c r="BW6" s="108"/>
      <c r="BX6" s="108"/>
      <c r="BY6" s="108"/>
      <c r="BZ6" s="108"/>
      <c r="CA6" s="108"/>
      <c r="CB6" s="108"/>
      <c r="CC6" s="108"/>
      <c r="CD6" s="108"/>
      <c r="CE6" s="108"/>
      <c r="CF6" s="108"/>
      <c r="CG6" s="108"/>
      <c r="CH6" s="108"/>
      <c r="CI6" s="108"/>
      <c r="CJ6" s="108"/>
      <c r="CK6" s="108"/>
      <c r="CL6" s="108"/>
      <c r="CM6" s="108"/>
      <c r="CN6" s="108"/>
      <c r="CO6" s="108"/>
      <c r="CP6" s="108"/>
      <c r="CQ6" s="108"/>
      <c r="CR6" s="108"/>
      <c r="CS6" s="108"/>
      <c r="CT6" s="108"/>
      <c r="CU6" s="108"/>
      <c r="CV6" s="108"/>
      <c r="CW6" s="108"/>
      <c r="CX6" s="108"/>
      <c r="CY6" s="109"/>
      <c r="CZ6" s="109"/>
      <c r="DA6" s="109"/>
      <c r="DB6" s="109"/>
      <c r="DC6" s="108"/>
      <c r="DD6" s="108"/>
      <c r="DE6" s="108"/>
      <c r="DF6" s="108"/>
      <c r="DG6" s="108"/>
      <c r="DH6" s="108"/>
      <c r="DI6" s="108"/>
      <c r="DJ6" s="108"/>
      <c r="DK6" s="108"/>
      <c r="DL6" s="108"/>
      <c r="DM6" s="108"/>
      <c r="DN6" s="108"/>
      <c r="DO6" s="108"/>
      <c r="DP6" s="108"/>
      <c r="DQ6" s="108"/>
      <c r="DR6" s="108"/>
      <c r="DS6" s="108"/>
      <c r="DT6" s="108"/>
      <c r="DU6" s="108"/>
    </row>
    <row r="7" spans="1:133" ht="14" customHeight="1">
      <c r="A7" s="70"/>
      <c r="B7" s="85" t="s">
        <v>1</v>
      </c>
      <c r="C7" s="85"/>
      <c r="D7" s="86"/>
      <c r="E7" s="86"/>
      <c r="F7" s="86"/>
      <c r="G7" s="86"/>
      <c r="H7" s="87"/>
      <c r="I7" s="84"/>
      <c r="J7" s="84"/>
      <c r="K7" s="84"/>
      <c r="L7" s="84"/>
      <c r="M7" s="84"/>
      <c r="N7" s="84"/>
      <c r="O7" s="84"/>
      <c r="P7" s="67"/>
      <c r="Q7" s="67"/>
      <c r="U7" s="67"/>
      <c r="V7" s="67"/>
      <c r="W7" s="67"/>
      <c r="X7" s="67"/>
      <c r="Y7" s="67"/>
      <c r="Z7" s="67"/>
      <c r="AA7" s="67"/>
      <c r="AB7" s="67"/>
      <c r="AC7" s="67"/>
      <c r="AD7" s="254"/>
      <c r="AE7" s="134"/>
      <c r="AF7" s="134"/>
      <c r="AG7" s="115" t="s">
        <v>218</v>
      </c>
      <c r="AH7" s="115" t="s">
        <v>178</v>
      </c>
      <c r="AI7" s="110" t="s">
        <v>152</v>
      </c>
      <c r="AJ7" s="110" t="s">
        <v>170</v>
      </c>
      <c r="AZ7" s="108"/>
      <c r="BA7" s="109"/>
      <c r="BE7" s="109"/>
      <c r="BF7" s="109"/>
      <c r="BG7" s="109"/>
      <c r="BH7" s="108"/>
      <c r="BI7" s="108"/>
      <c r="BJ7" s="108"/>
      <c r="BK7" s="108"/>
      <c r="BL7" s="108"/>
      <c r="BM7" s="108"/>
      <c r="BN7" s="108"/>
      <c r="BO7" s="108"/>
      <c r="BP7" s="108"/>
      <c r="BQ7" s="108"/>
      <c r="BR7" s="108"/>
      <c r="BS7" s="108"/>
      <c r="BT7" s="108"/>
      <c r="BU7" s="108"/>
      <c r="BV7" s="108"/>
      <c r="BW7" s="108"/>
      <c r="BX7" s="108"/>
      <c r="BY7" s="108"/>
      <c r="BZ7" s="108"/>
      <c r="CA7" s="108"/>
      <c r="CB7" s="108"/>
      <c r="CC7" s="108"/>
      <c r="CD7" s="108"/>
      <c r="CE7" s="108"/>
      <c r="CF7" s="108"/>
      <c r="CG7" s="108"/>
      <c r="CH7" s="108"/>
      <c r="CI7" s="108"/>
      <c r="CJ7" s="108"/>
      <c r="CK7" s="108"/>
      <c r="CL7" s="108"/>
      <c r="CM7" s="108"/>
      <c r="CN7" s="108"/>
      <c r="CO7" s="108"/>
      <c r="CP7" s="108"/>
      <c r="CQ7" s="108"/>
      <c r="CR7" s="108"/>
      <c r="CS7" s="108"/>
      <c r="CT7" s="108"/>
      <c r="CU7" s="108"/>
      <c r="CV7" s="108"/>
      <c r="CW7" s="108"/>
      <c r="CX7" s="108"/>
      <c r="CY7" s="109"/>
      <c r="CZ7" s="109"/>
      <c r="DA7" s="109"/>
      <c r="DB7" s="109"/>
      <c r="DC7" s="108"/>
      <c r="DD7" s="108"/>
      <c r="DE7" s="108"/>
      <c r="DF7" s="108"/>
      <c r="DG7" s="107"/>
      <c r="DH7" s="107"/>
      <c r="DI7" s="108"/>
      <c r="DJ7" s="108"/>
      <c r="DK7" s="108"/>
      <c r="DL7" s="108"/>
      <c r="DM7" s="108"/>
      <c r="DN7" s="108"/>
      <c r="DO7" s="108"/>
      <c r="DP7" s="108"/>
      <c r="DQ7" s="108"/>
      <c r="DR7" s="108"/>
      <c r="DS7" s="108"/>
      <c r="DT7" s="108"/>
      <c r="DU7" s="108"/>
    </row>
    <row r="8" spans="1:133" s="69" customFormat="1" ht="14" customHeight="1">
      <c r="B8" s="85" t="s">
        <v>2</v>
      </c>
      <c r="C8" s="85"/>
      <c r="D8" s="86"/>
      <c r="E8" s="86"/>
      <c r="F8" s="86"/>
      <c r="G8" s="86"/>
      <c r="H8" s="86"/>
      <c r="I8" s="84"/>
      <c r="J8" s="88"/>
      <c r="K8" s="88"/>
      <c r="L8" s="88"/>
      <c r="M8" s="88"/>
      <c r="N8" s="88"/>
      <c r="O8" s="88"/>
      <c r="P8" s="68"/>
      <c r="Q8" s="68"/>
      <c r="U8" s="68"/>
      <c r="V8" s="68"/>
      <c r="W8" s="68"/>
      <c r="X8" s="68"/>
      <c r="Y8" s="68"/>
      <c r="Z8" s="68"/>
      <c r="AA8" s="68"/>
      <c r="AB8" s="68"/>
      <c r="AC8" s="68"/>
      <c r="AD8" s="78"/>
      <c r="AE8" s="133"/>
      <c r="AF8" s="133"/>
      <c r="AG8" s="115" t="s">
        <v>214</v>
      </c>
      <c r="AH8" s="115" t="s">
        <v>179</v>
      </c>
      <c r="AI8" s="114" t="s">
        <v>181</v>
      </c>
      <c r="AJ8" s="216"/>
      <c r="AK8" s="117"/>
      <c r="AL8" s="117"/>
      <c r="AM8" s="108"/>
      <c r="AN8" s="117"/>
      <c r="AO8" s="117"/>
      <c r="AP8" s="109"/>
      <c r="AQ8" s="108"/>
      <c r="AR8" s="117"/>
      <c r="AS8" s="117"/>
      <c r="AT8" s="109"/>
      <c r="AU8" s="108"/>
      <c r="AV8" s="109"/>
      <c r="AW8" s="108"/>
      <c r="AX8" s="109"/>
      <c r="AY8" s="117"/>
      <c r="AZ8" s="117"/>
      <c r="BA8" s="108"/>
      <c r="BB8" s="117"/>
      <c r="BC8" s="117"/>
      <c r="BD8" s="117"/>
      <c r="BE8" s="129"/>
      <c r="BF8" s="116"/>
      <c r="BG8" s="116"/>
      <c r="BH8" s="117"/>
      <c r="BI8" s="117"/>
      <c r="BJ8" s="122"/>
      <c r="BK8" s="122"/>
      <c r="BL8" s="122"/>
      <c r="BM8" s="122"/>
      <c r="BN8" s="122"/>
      <c r="BO8" s="122"/>
      <c r="BP8" s="122"/>
      <c r="BQ8" s="122"/>
      <c r="BR8" s="122"/>
      <c r="BS8" s="122"/>
      <c r="BT8" s="122"/>
      <c r="BU8" s="122"/>
      <c r="BV8" s="122"/>
      <c r="BW8" s="122"/>
      <c r="BX8" s="122"/>
      <c r="BY8" s="122"/>
      <c r="BZ8" s="122"/>
      <c r="CA8" s="122"/>
      <c r="CB8" s="122"/>
      <c r="CC8" s="122"/>
      <c r="CD8" s="122"/>
      <c r="CE8" s="122"/>
      <c r="CF8" s="122"/>
      <c r="CG8" s="122"/>
      <c r="CH8" s="122"/>
      <c r="CI8" s="122"/>
      <c r="CJ8" s="122"/>
      <c r="CK8" s="122"/>
      <c r="CL8" s="122"/>
      <c r="CM8" s="122"/>
      <c r="CN8" s="122"/>
      <c r="CO8" s="122"/>
      <c r="CP8" s="122"/>
      <c r="CQ8" s="122"/>
      <c r="CR8" s="122"/>
      <c r="CS8" s="122"/>
      <c r="CT8" s="122"/>
      <c r="CU8" s="122"/>
      <c r="CV8" s="122"/>
      <c r="CW8" s="122"/>
      <c r="CX8" s="122"/>
      <c r="CY8" s="122"/>
      <c r="CZ8" s="116"/>
      <c r="DA8" s="116"/>
      <c r="DB8" s="116"/>
      <c r="DC8" s="116"/>
      <c r="DD8" s="116"/>
      <c r="DE8" s="116"/>
      <c r="DF8" s="116"/>
      <c r="DG8" s="122"/>
      <c r="DH8" s="122"/>
      <c r="DI8" s="122"/>
      <c r="DJ8" s="122"/>
      <c r="DK8" s="122"/>
      <c r="DL8" s="122"/>
      <c r="DM8" s="122"/>
      <c r="DN8" s="122"/>
      <c r="DO8" s="122"/>
      <c r="DP8" s="122"/>
      <c r="DQ8" s="122"/>
      <c r="DR8" s="122"/>
      <c r="DS8" s="122"/>
      <c r="DT8" s="122"/>
      <c r="DU8" s="122"/>
      <c r="DV8" s="122"/>
      <c r="DW8" s="259"/>
      <c r="DX8" s="133"/>
      <c r="DY8" s="193"/>
    </row>
    <row r="9" spans="1:133" ht="14" customHeight="1">
      <c r="A9" s="70"/>
      <c r="B9" s="85" t="s">
        <v>3</v>
      </c>
      <c r="G9" s="86"/>
      <c r="H9" s="86"/>
      <c r="I9" s="84"/>
      <c r="J9" s="84"/>
      <c r="K9" s="84"/>
      <c r="L9" s="84"/>
      <c r="M9" s="84"/>
      <c r="N9" s="84"/>
      <c r="O9" s="84"/>
      <c r="P9" s="67"/>
      <c r="Q9" s="67"/>
      <c r="U9" s="67"/>
      <c r="V9" s="67"/>
      <c r="W9" s="67"/>
      <c r="X9" s="67"/>
      <c r="Y9" s="67"/>
      <c r="Z9" s="67"/>
      <c r="AA9" s="67"/>
      <c r="AB9" s="67"/>
      <c r="AC9" s="67"/>
      <c r="AD9" s="77"/>
      <c r="AE9" s="134"/>
      <c r="AF9" s="134"/>
      <c r="AG9" s="115" t="s">
        <v>215</v>
      </c>
      <c r="AH9" s="115" t="s">
        <v>180</v>
      </c>
      <c r="AI9" s="115" t="str">
        <f>VLOOKUP(B28,AG2:AH9,2,FALSE)&amp;"_"&amp;"i1P_"&amp;VLOOKUP(B31,AI2:AJ3,2,FALSE)</f>
        <v>CRPC_2_i1P_3T</v>
      </c>
      <c r="AJ9" s="110"/>
      <c r="AM9" s="109"/>
      <c r="AN9" s="108"/>
      <c r="AO9" s="109"/>
      <c r="AP9" s="108"/>
      <c r="AQ9" s="109"/>
      <c r="AR9" s="108"/>
      <c r="AS9" s="109"/>
      <c r="AT9" s="108"/>
      <c r="AU9" s="109"/>
      <c r="AW9" s="109"/>
      <c r="AX9" s="108"/>
      <c r="AY9" s="109"/>
      <c r="AZ9" s="108"/>
      <c r="BA9" s="109"/>
      <c r="BB9" s="108"/>
      <c r="BF9" s="109"/>
      <c r="BG9" s="109"/>
      <c r="BH9" s="111"/>
      <c r="BI9" s="111"/>
      <c r="BJ9" s="108"/>
      <c r="BK9" s="108"/>
      <c r="BL9" s="108"/>
      <c r="BM9" s="108"/>
      <c r="BN9" s="108"/>
      <c r="BO9" s="108"/>
      <c r="BP9" s="108"/>
      <c r="BQ9" s="108"/>
      <c r="BR9" s="108"/>
      <c r="BS9" s="108"/>
      <c r="BT9" s="108"/>
      <c r="BU9" s="108"/>
      <c r="BV9" s="108"/>
      <c r="BW9" s="108"/>
      <c r="BX9" s="108"/>
      <c r="BY9" s="108"/>
      <c r="BZ9" s="108"/>
      <c r="CA9" s="108"/>
      <c r="CB9" s="108"/>
      <c r="CC9" s="108"/>
      <c r="CD9" s="108"/>
      <c r="CE9" s="108"/>
      <c r="CF9" s="108"/>
      <c r="CG9" s="108"/>
      <c r="CH9" s="108"/>
      <c r="CI9" s="108"/>
      <c r="CJ9" s="108"/>
      <c r="CK9" s="108"/>
      <c r="CL9" s="108"/>
      <c r="CM9" s="108"/>
      <c r="CN9" s="108"/>
      <c r="CO9" s="108"/>
      <c r="CP9" s="108"/>
      <c r="CQ9" s="108"/>
      <c r="CR9" s="108"/>
      <c r="CS9" s="108"/>
      <c r="CT9" s="108"/>
      <c r="CU9" s="108"/>
      <c r="CV9" s="108"/>
      <c r="CW9" s="108"/>
      <c r="CX9" s="108"/>
      <c r="CY9" s="108"/>
      <c r="CZ9" s="109"/>
      <c r="DA9" s="109"/>
      <c r="DB9" s="109"/>
      <c r="DC9" s="109"/>
      <c r="DD9" s="109"/>
      <c r="DE9" s="109"/>
      <c r="DF9" s="109"/>
      <c r="DG9" s="108"/>
      <c r="DH9" s="108"/>
      <c r="DI9" s="108"/>
      <c r="DJ9" s="108"/>
      <c r="DK9" s="108"/>
      <c r="DL9" s="108"/>
      <c r="DM9" s="108"/>
      <c r="DN9" s="108"/>
      <c r="DO9" s="108"/>
      <c r="DP9" s="108"/>
      <c r="DQ9" s="108"/>
      <c r="DR9" s="108"/>
      <c r="DS9" s="108"/>
      <c r="DT9" s="108"/>
      <c r="DU9" s="108"/>
      <c r="DV9" s="108"/>
      <c r="DW9" s="258"/>
      <c r="DX9" s="134"/>
    </row>
    <row r="10" spans="1:133" ht="14" customHeight="1">
      <c r="A10" s="70"/>
      <c r="B10" s="84"/>
      <c r="C10" s="85"/>
      <c r="D10" s="86"/>
      <c r="E10" s="86"/>
      <c r="F10" s="86"/>
      <c r="G10" s="86"/>
      <c r="H10" s="86"/>
      <c r="I10" s="84"/>
      <c r="J10" s="84"/>
      <c r="K10" s="84"/>
      <c r="L10" s="84"/>
      <c r="M10" s="84"/>
      <c r="N10" s="84"/>
      <c r="O10" s="84"/>
      <c r="P10" s="67"/>
      <c r="Q10" s="67"/>
      <c r="U10" s="67"/>
      <c r="V10" s="67"/>
      <c r="W10" s="67"/>
      <c r="X10" s="67"/>
      <c r="Y10" s="67"/>
      <c r="Z10" s="67"/>
      <c r="AA10" s="67"/>
      <c r="AB10" s="67"/>
      <c r="AC10" s="77"/>
      <c r="AD10" s="77"/>
      <c r="AE10" s="134"/>
      <c r="AF10" s="134"/>
      <c r="AG10" s="110"/>
      <c r="AH10" s="115"/>
      <c r="AI10" s="115"/>
      <c r="AJ10" s="115"/>
      <c r="AK10" s="108"/>
      <c r="AL10" s="108"/>
      <c r="AM10" s="108"/>
      <c r="AN10" s="108"/>
      <c r="AO10" s="108"/>
      <c r="AP10" s="108"/>
      <c r="AQ10" s="108"/>
      <c r="AR10" s="108"/>
      <c r="AS10" s="108"/>
      <c r="AU10" s="109"/>
      <c r="AV10" s="108"/>
      <c r="AW10" s="109"/>
      <c r="AX10" s="108"/>
      <c r="AY10" s="108"/>
      <c r="AZ10" s="108"/>
      <c r="BA10" s="108"/>
      <c r="BB10" s="108"/>
      <c r="BC10" s="108"/>
      <c r="BD10" s="108"/>
      <c r="BE10" s="109"/>
      <c r="BF10" s="109"/>
      <c r="BG10" s="109"/>
      <c r="BH10" s="111"/>
      <c r="BI10" s="111"/>
      <c r="BJ10" s="108"/>
      <c r="BK10" s="108"/>
      <c r="BL10" s="108"/>
      <c r="BM10" s="108"/>
      <c r="BN10" s="108"/>
      <c r="BO10" s="108"/>
      <c r="BP10" s="108"/>
      <c r="BQ10" s="108"/>
      <c r="BR10" s="108"/>
      <c r="BS10" s="108"/>
      <c r="BT10" s="108"/>
      <c r="BU10" s="108"/>
      <c r="BV10" s="108"/>
      <c r="BW10" s="108"/>
      <c r="BX10" s="108"/>
      <c r="BY10" s="108"/>
      <c r="BZ10" s="108"/>
      <c r="CA10" s="108"/>
      <c r="CB10" s="108"/>
      <c r="CC10" s="108"/>
      <c r="CD10" s="108"/>
      <c r="CE10" s="108"/>
      <c r="CF10" s="108"/>
      <c r="CG10" s="108"/>
      <c r="CH10" s="108"/>
      <c r="CI10" s="108"/>
      <c r="CJ10" s="108"/>
      <c r="CK10" s="108"/>
      <c r="CL10" s="108"/>
      <c r="CM10" s="108"/>
      <c r="CN10" s="108"/>
      <c r="CO10" s="108"/>
      <c r="CP10" s="108"/>
      <c r="CQ10" s="108"/>
      <c r="CR10" s="108"/>
      <c r="CS10" s="108"/>
      <c r="CT10" s="108"/>
      <c r="CU10" s="108"/>
      <c r="CV10" s="108"/>
      <c r="CW10" s="108"/>
      <c r="CX10" s="108"/>
      <c r="CY10" s="108"/>
      <c r="CZ10" s="109"/>
      <c r="DA10" s="109"/>
      <c r="DB10" s="109"/>
      <c r="DC10" s="109"/>
      <c r="DD10" s="109"/>
      <c r="DE10" s="109"/>
      <c r="DF10" s="109"/>
      <c r="DG10" s="108"/>
      <c r="DH10" s="108"/>
      <c r="DI10" s="108"/>
      <c r="DJ10" s="108"/>
      <c r="DK10" s="108"/>
      <c r="DL10" s="108"/>
      <c r="DM10" s="108"/>
      <c r="DN10" s="108"/>
      <c r="DO10" s="108"/>
      <c r="DP10" s="108"/>
      <c r="DQ10" s="108"/>
      <c r="DR10" s="108"/>
      <c r="DS10" s="108"/>
      <c r="DT10" s="108"/>
      <c r="DU10" s="108"/>
      <c r="DV10" s="108"/>
      <c r="DW10" s="258"/>
      <c r="DX10" s="134"/>
    </row>
    <row r="11" spans="1:133" ht="14" customHeight="1" thickBot="1">
      <c r="B11" s="16" t="s">
        <v>136</v>
      </c>
      <c r="C11" s="82"/>
      <c r="D11" s="84"/>
      <c r="E11" s="84"/>
      <c r="F11" s="84"/>
      <c r="G11" s="84"/>
      <c r="H11" s="84"/>
      <c r="I11" s="84"/>
      <c r="J11" s="84"/>
      <c r="K11" s="84"/>
      <c r="L11" s="84"/>
      <c r="M11" s="84"/>
      <c r="N11" s="84"/>
      <c r="O11" s="84"/>
      <c r="P11" s="94"/>
      <c r="Q11" s="148"/>
      <c r="R11" s="148"/>
      <c r="S11" s="148"/>
      <c r="T11" s="148"/>
      <c r="U11" s="148"/>
      <c r="V11" s="148"/>
      <c r="W11" s="148"/>
      <c r="X11" s="148"/>
      <c r="Y11" s="148"/>
      <c r="Z11" s="148"/>
      <c r="AA11" s="148"/>
      <c r="AB11" s="148"/>
      <c r="AC11" s="148"/>
      <c r="AD11" s="148"/>
      <c r="AE11" s="265"/>
      <c r="AF11" s="265"/>
      <c r="AG11" s="116" t="s">
        <v>145</v>
      </c>
      <c r="AH11" s="109"/>
      <c r="AI11" s="109"/>
      <c r="AJ11" s="109"/>
      <c r="AK11" s="108"/>
      <c r="AL11" s="108"/>
      <c r="AM11" s="116" t="s">
        <v>142</v>
      </c>
      <c r="AN11" s="108"/>
      <c r="AO11" s="108"/>
      <c r="AP11" s="108"/>
      <c r="AQ11" s="108"/>
      <c r="AR11" s="108"/>
      <c r="AS11" s="116" t="s">
        <v>141</v>
      </c>
      <c r="AT11" s="108"/>
      <c r="AU11" s="108"/>
      <c r="AV11" s="108"/>
      <c r="AW11" s="108"/>
      <c r="AX11" s="108"/>
      <c r="AY11" s="108"/>
      <c r="AZ11" s="108"/>
      <c r="BA11" s="108"/>
      <c r="BB11" s="108"/>
      <c r="BC11" s="108"/>
      <c r="BD11" s="108"/>
      <c r="BE11" s="109"/>
      <c r="BF11" s="109"/>
      <c r="BG11" s="109"/>
      <c r="BH11" s="108"/>
      <c r="BI11" s="108"/>
      <c r="BJ11" s="108"/>
      <c r="BK11" s="108"/>
      <c r="BL11" s="108"/>
      <c r="BM11" s="108"/>
      <c r="BN11" s="108"/>
      <c r="BO11" s="108"/>
      <c r="BP11" s="108"/>
      <c r="BQ11" s="108"/>
      <c r="BR11" s="108"/>
      <c r="BS11" s="108"/>
      <c r="BT11" s="108"/>
      <c r="BU11" s="108"/>
      <c r="BV11" s="108"/>
      <c r="BW11" s="108"/>
      <c r="BX11" s="108"/>
      <c r="BY11" s="108"/>
      <c r="BZ11" s="108"/>
      <c r="CA11" s="108"/>
      <c r="CB11" s="108"/>
      <c r="CC11" s="108"/>
      <c r="CD11" s="108"/>
      <c r="CE11" s="108"/>
      <c r="CF11" s="108"/>
      <c r="CG11" s="108"/>
      <c r="CH11" s="122" t="s">
        <v>198</v>
      </c>
      <c r="CI11" s="108"/>
      <c r="CJ11" s="108"/>
      <c r="CK11" s="108"/>
      <c r="CL11" s="108"/>
      <c r="CM11" s="108"/>
      <c r="CN11" s="108"/>
      <c r="CO11" s="108"/>
      <c r="CP11" s="108"/>
      <c r="CQ11" s="122" t="s">
        <v>199</v>
      </c>
      <c r="CR11" s="108"/>
      <c r="CS11" s="108"/>
      <c r="CT11" s="122" t="s">
        <v>200</v>
      </c>
      <c r="CU11" s="108"/>
      <c r="CV11" s="108"/>
      <c r="CW11" s="122" t="s">
        <v>201</v>
      </c>
      <c r="CX11" s="108"/>
      <c r="CY11" s="108"/>
      <c r="CZ11" s="108"/>
      <c r="DA11" s="108"/>
      <c r="DB11" s="122" t="s">
        <v>202</v>
      </c>
      <c r="DC11" s="108"/>
      <c r="DD11" s="108"/>
      <c r="DE11" s="108"/>
      <c r="DF11" s="108"/>
      <c r="DG11" s="122" t="s">
        <v>203</v>
      </c>
      <c r="DH11" s="109"/>
      <c r="DI11" s="109"/>
      <c r="DJ11" s="109"/>
      <c r="DK11" s="122" t="s">
        <v>204</v>
      </c>
      <c r="DL11" s="108"/>
      <c r="DM11" s="108"/>
      <c r="DN11" s="108"/>
      <c r="DO11" s="108"/>
      <c r="DP11" s="108"/>
      <c r="DQ11" s="108"/>
      <c r="DR11" s="108"/>
      <c r="DS11" s="108"/>
      <c r="DT11" s="108"/>
      <c r="DU11" s="108"/>
      <c r="DV11" s="108"/>
      <c r="DW11" s="258"/>
      <c r="DX11" s="134"/>
      <c r="DY11" s="134"/>
      <c r="DZ11" s="67"/>
      <c r="EA11" s="67"/>
      <c r="EB11" s="67"/>
    </row>
    <row r="12" spans="1:133" ht="14" customHeight="1" thickTop="1" thickBot="1">
      <c r="B12" s="350"/>
      <c r="C12" s="351"/>
      <c r="D12" s="355" t="s">
        <v>10</v>
      </c>
      <c r="E12" s="356"/>
      <c r="F12" s="352" t="s">
        <v>11</v>
      </c>
      <c r="G12" s="352"/>
      <c r="H12" s="28" t="s">
        <v>12</v>
      </c>
      <c r="I12" s="30" t="s">
        <v>26</v>
      </c>
      <c r="J12" s="31" t="s">
        <v>27</v>
      </c>
      <c r="K12" s="32" t="s">
        <v>28</v>
      </c>
      <c r="L12" s="29" t="s">
        <v>13</v>
      </c>
      <c r="M12" s="33" t="s">
        <v>29</v>
      </c>
      <c r="N12" s="29" t="s">
        <v>30</v>
      </c>
      <c r="O12" s="34" t="s">
        <v>31</v>
      </c>
      <c r="P12" s="215"/>
      <c r="Q12" s="266"/>
      <c r="R12" s="267"/>
      <c r="S12" s="267"/>
      <c r="T12" s="267"/>
      <c r="U12" s="267"/>
      <c r="V12" s="267"/>
      <c r="W12" s="267"/>
      <c r="X12" s="267"/>
      <c r="Y12" s="267"/>
      <c r="Z12" s="267"/>
      <c r="AA12" s="267"/>
      <c r="AB12" s="267"/>
      <c r="AC12" s="267"/>
      <c r="AD12" s="267"/>
      <c r="AE12" s="268"/>
      <c r="AF12" s="269"/>
      <c r="AG12" s="109"/>
      <c r="AH12" s="109"/>
      <c r="AI12" s="109"/>
      <c r="AJ12" s="109"/>
      <c r="AK12" s="108"/>
      <c r="AL12" s="108"/>
      <c r="AM12" s="108"/>
      <c r="AN12" s="108"/>
      <c r="AO12" s="108"/>
      <c r="AP12" s="108"/>
      <c r="AQ12" s="108"/>
      <c r="AR12" s="108"/>
      <c r="AS12" s="108"/>
      <c r="AT12" s="108"/>
      <c r="AU12" s="108"/>
      <c r="AV12" s="108"/>
      <c r="AW12" s="108"/>
      <c r="AX12" s="108"/>
      <c r="AY12" s="108"/>
      <c r="AZ12" s="108"/>
      <c r="BA12" s="108"/>
      <c r="BB12" s="108"/>
      <c r="BC12" s="108"/>
      <c r="BD12" s="108"/>
      <c r="BE12" s="109"/>
      <c r="BF12" s="109"/>
      <c r="BG12" s="109"/>
      <c r="BH12" s="108"/>
      <c r="BI12" s="108"/>
      <c r="BJ12" s="108"/>
      <c r="BK12" s="108"/>
      <c r="EB12" s="67"/>
      <c r="EC12" s="67"/>
    </row>
    <row r="13" spans="1:133" ht="14" customHeight="1" thickTop="1">
      <c r="B13" s="337" t="s">
        <v>25</v>
      </c>
      <c r="C13" s="361"/>
      <c r="D13" s="357">
        <f ca="1">(VLOOKUP("C100M0Y0K0",$CI$14:$CP$97,8,FALSE))</f>
        <v>0</v>
      </c>
      <c r="E13" s="358" t="e">
        <f>IF(OR(#REF!=4,#REF!=5,#REF!=6),U4,U3)</f>
        <v>#REF!</v>
      </c>
      <c r="F13" s="353">
        <f ca="1">(VLOOKUP("C0M100Y0K0",$CI$14:$CP$97,8,FALSE))</f>
        <v>0</v>
      </c>
      <c r="G13" s="353" t="e">
        <f>IF(OR(#REF!=4,#REF!=5,#REF!=6),W4,W3)</f>
        <v>#REF!</v>
      </c>
      <c r="H13" s="35">
        <f ca="1">(VLOOKUP("C0M0Y100K0",$CI$14:$CP$97,8,FALSE))</f>
        <v>0</v>
      </c>
      <c r="I13" s="37">
        <f ca="1">(VLOOKUP("C100M100Y0K0",$CI$14:$CP$97,8,FALSE))</f>
        <v>0</v>
      </c>
      <c r="J13" s="38">
        <f ca="1">(VLOOKUP("C100M0Y100K0",$CI$14:$CP$97,8,FALSE))</f>
        <v>0</v>
      </c>
      <c r="K13" s="39">
        <f ca="1">(VLOOKUP("C0M100Y100K0",$CI$14:$CP$97,8,FALSE))</f>
        <v>0</v>
      </c>
      <c r="L13" s="36">
        <f ca="1">(VLOOKUP("C0M0Y0K100",$CI$14:$CP$97,8,FALSE))</f>
        <v>0</v>
      </c>
      <c r="M13" s="40">
        <f ca="1">(VLOOKUP("C25M19Y19K0",$CI$14:$CP$97,8,FALSE))</f>
        <v>0</v>
      </c>
      <c r="N13" s="36">
        <f ca="1">(VLOOKUP("C50M40Y40K0",$CI$14:$CP$97,8,FALSE))</f>
        <v>0</v>
      </c>
      <c r="O13" s="41">
        <f ca="1">(VLOOKUP("C75M66Y66K0",$CI$14:$CP$97,8,FALSE))</f>
        <v>0</v>
      </c>
      <c r="P13" s="215"/>
      <c r="Q13" s="270"/>
      <c r="R13" s="277" t="s">
        <v>42</v>
      </c>
      <c r="S13" s="278"/>
      <c r="T13" s="386" t="s">
        <v>127</v>
      </c>
      <c r="U13" s="387"/>
      <c r="V13" s="387"/>
      <c r="W13" s="387"/>
      <c r="X13" s="279">
        <v>3</v>
      </c>
      <c r="Y13" s="280">
        <f ca="1">VLOOKUP("C0M0Y0K0",CI14:CP97,8,FALSE)</f>
        <v>0</v>
      </c>
      <c r="Z13" s="8" t="str">
        <f ca="1">IF(Y13&gt;X13,"O","P")</f>
        <v>P</v>
      </c>
      <c r="AA13" s="8"/>
      <c r="AB13" s="272" t="str">
        <f>IF(RIGHT(B28,5)="SCCA)",LEFT(B28,LEN(B28)-22)&amp;"PROOF",IF(RIGHT(B28,6)="CRPC2)",LEFT(B28,LEN(B28)-15)&amp;"PROOF",LEFT(B28,LEN(B28)-17)&amp;"PROOF"))</f>
        <v>HEATSET NEWS PROOF</v>
      </c>
      <c r="AC13" s="104"/>
      <c r="AD13" s="274"/>
      <c r="AE13" s="271"/>
      <c r="AF13" s="269"/>
      <c r="AG13" s="112" t="s">
        <v>78</v>
      </c>
      <c r="AH13" s="112" t="s">
        <v>79</v>
      </c>
      <c r="AI13" s="112" t="s">
        <v>80</v>
      </c>
      <c r="AJ13" s="112" t="s">
        <v>46</v>
      </c>
      <c r="AK13" s="112" t="s">
        <v>47</v>
      </c>
      <c r="AM13" s="112" t="s">
        <v>81</v>
      </c>
      <c r="AN13" s="112" t="s">
        <v>82</v>
      </c>
      <c r="AO13" s="112" t="s">
        <v>83</v>
      </c>
      <c r="AP13" s="112" t="s">
        <v>46</v>
      </c>
      <c r="AQ13" s="112" t="s">
        <v>47</v>
      </c>
      <c r="AS13" s="112" t="s">
        <v>15</v>
      </c>
      <c r="AT13" s="112" t="s">
        <v>48</v>
      </c>
      <c r="AU13" s="112" t="s">
        <v>49</v>
      </c>
      <c r="AV13" s="112" t="s">
        <v>50</v>
      </c>
      <c r="AW13" s="112" t="s">
        <v>41</v>
      </c>
      <c r="AX13" s="109" t="s">
        <v>23</v>
      </c>
      <c r="AY13" s="112" t="s">
        <v>51</v>
      </c>
      <c r="AZ13" s="112" t="s">
        <v>31</v>
      </c>
      <c r="BA13" s="112" t="s">
        <v>52</v>
      </c>
      <c r="BB13" s="112" t="s">
        <v>53</v>
      </c>
      <c r="BC13" s="112" t="s">
        <v>54</v>
      </c>
      <c r="BD13" s="112" t="s">
        <v>55</v>
      </c>
      <c r="BE13" s="112" t="s">
        <v>56</v>
      </c>
      <c r="BF13" s="112" t="s">
        <v>57</v>
      </c>
      <c r="BG13" s="112" t="s">
        <v>58</v>
      </c>
      <c r="BH13" s="112" t="s">
        <v>27</v>
      </c>
      <c r="BI13" s="112" t="s">
        <v>59</v>
      </c>
      <c r="BJ13" s="112" t="s">
        <v>60</v>
      </c>
      <c r="BK13" s="112" t="s">
        <v>61</v>
      </c>
      <c r="BL13" s="112" t="s">
        <v>62</v>
      </c>
      <c r="BM13" s="112" t="s">
        <v>63</v>
      </c>
      <c r="BN13" s="112" t="s">
        <v>64</v>
      </c>
      <c r="BO13" s="112" t="s">
        <v>65</v>
      </c>
      <c r="BP13" s="112" t="s">
        <v>66</v>
      </c>
      <c r="BQ13" s="112" t="s">
        <v>53</v>
      </c>
      <c r="BR13" s="112" t="s">
        <v>67</v>
      </c>
      <c r="BS13" s="112" t="s">
        <v>68</v>
      </c>
      <c r="BT13" s="112" t="s">
        <v>69</v>
      </c>
      <c r="BU13" s="112" t="s">
        <v>70</v>
      </c>
      <c r="BV13" s="112" t="s">
        <v>51</v>
      </c>
      <c r="BW13" s="112" t="s">
        <v>31</v>
      </c>
      <c r="BX13" s="112" t="s">
        <v>52</v>
      </c>
      <c r="BY13" s="112" t="s">
        <v>71</v>
      </c>
      <c r="BZ13" s="112" t="s">
        <v>72</v>
      </c>
      <c r="CA13" s="112" t="s">
        <v>73</v>
      </c>
      <c r="CB13" s="112" t="s">
        <v>74</v>
      </c>
      <c r="CC13" s="112" t="s">
        <v>75</v>
      </c>
      <c r="CD13" s="112" t="s">
        <v>76</v>
      </c>
      <c r="CE13" s="112" t="s">
        <v>51</v>
      </c>
      <c r="CF13" s="109" t="s">
        <v>31</v>
      </c>
      <c r="CG13" s="112" t="s">
        <v>52</v>
      </c>
      <c r="CI13" s="123"/>
      <c r="CJ13" s="123" t="str">
        <f>AS13</f>
        <v>∆L</v>
      </c>
      <c r="CK13" s="123" t="str">
        <f>AV13</f>
        <v>∆C</v>
      </c>
      <c r="CL13" s="123" t="str">
        <f>AW13</f>
        <v>∆H</v>
      </c>
      <c r="CM13" s="124" t="s">
        <v>84</v>
      </c>
      <c r="CN13" s="112" t="s">
        <v>77</v>
      </c>
      <c r="CO13" s="112" t="s">
        <v>111</v>
      </c>
      <c r="CP13" s="112" t="s">
        <v>45</v>
      </c>
      <c r="CQ13" s="112"/>
      <c r="CR13" s="112" t="s">
        <v>45</v>
      </c>
      <c r="CS13" s="112" t="s">
        <v>41</v>
      </c>
      <c r="CT13" s="112"/>
      <c r="CU13" s="112" t="s">
        <v>45</v>
      </c>
      <c r="CV13" s="112" t="s">
        <v>41</v>
      </c>
      <c r="CW13" s="112"/>
      <c r="CX13" s="112" t="s">
        <v>45</v>
      </c>
      <c r="CY13" s="112" t="s">
        <v>216</v>
      </c>
      <c r="CZ13" s="112" t="s">
        <v>41</v>
      </c>
      <c r="DA13" s="112" t="s">
        <v>23</v>
      </c>
      <c r="DB13" s="112"/>
      <c r="DC13" s="112" t="s">
        <v>15</v>
      </c>
      <c r="DD13" s="112" t="s">
        <v>216</v>
      </c>
      <c r="DE13" s="112" t="s">
        <v>205</v>
      </c>
      <c r="DF13" s="112" t="s">
        <v>206</v>
      </c>
      <c r="DG13" s="112" t="s">
        <v>10</v>
      </c>
      <c r="DH13" s="109" t="s">
        <v>11</v>
      </c>
      <c r="DI13" s="109" t="s">
        <v>12</v>
      </c>
      <c r="DJ13" s="109" t="s">
        <v>13</v>
      </c>
      <c r="DK13" s="112" t="s">
        <v>186</v>
      </c>
      <c r="DL13" s="112" t="s">
        <v>187</v>
      </c>
      <c r="DM13" s="112" t="s">
        <v>188</v>
      </c>
      <c r="DN13" s="112" t="s">
        <v>189</v>
      </c>
      <c r="DO13" s="112" t="s">
        <v>190</v>
      </c>
      <c r="DP13" s="112" t="s">
        <v>191</v>
      </c>
      <c r="DQ13" s="107" t="s">
        <v>192</v>
      </c>
      <c r="DR13" s="107" t="s">
        <v>193</v>
      </c>
      <c r="DS13" s="107" t="s">
        <v>194</v>
      </c>
      <c r="DT13" s="107" t="s">
        <v>195</v>
      </c>
      <c r="DU13" s="107" t="s">
        <v>196</v>
      </c>
      <c r="DV13" s="107" t="s">
        <v>197</v>
      </c>
    </row>
    <row r="14" spans="1:133" ht="14" customHeight="1">
      <c r="B14" s="362" t="s">
        <v>41</v>
      </c>
      <c r="C14" s="363"/>
      <c r="D14" s="359">
        <f ca="1">(VLOOKUP("C100M0Y0K0",$CI$14:$CP$97,4,FALSE))</f>
        <v>0</v>
      </c>
      <c r="E14" s="360" t="e">
        <f>IF(OR(#REF!=4,#REF!=5,#REF!=6),U5,U4)</f>
        <v>#REF!</v>
      </c>
      <c r="F14" s="354">
        <f ca="1">(VLOOKUP("C0M100Y0K0",$CI$14:$CP$97,4,FALSE))</f>
        <v>0</v>
      </c>
      <c r="G14" s="354" t="e">
        <f>IF(OR(#REF!=4,#REF!=5,#REF!=6),W5,W4)</f>
        <v>#REF!</v>
      </c>
      <c r="H14" s="42">
        <f ca="1">(VLOOKUP("C0M0Y100K0",$CI$14:$CP$97,4,FALSE))</f>
        <v>0</v>
      </c>
      <c r="I14" s="43">
        <f ca="1">(VLOOKUP("C100M100Y0K0",$CI$14:$CP$97,4,FALSE))</f>
        <v>0</v>
      </c>
      <c r="J14" s="44">
        <f ca="1">(VLOOKUP("C100M0Y100K0",$CI$14:$CP$97,4,FALSE))</f>
        <v>0</v>
      </c>
      <c r="K14" s="45">
        <f ca="1">(VLOOKUP("C0M100Y100K0",$CI$14:$CP$97,4,FALSE))</f>
        <v>0</v>
      </c>
      <c r="L14" s="47" t="s">
        <v>17</v>
      </c>
      <c r="M14" s="46" t="s">
        <v>17</v>
      </c>
      <c r="N14" s="47" t="s">
        <v>17</v>
      </c>
      <c r="O14" s="48" t="s">
        <v>17</v>
      </c>
      <c r="P14" s="215"/>
      <c r="Q14" s="270"/>
      <c r="R14" s="368" t="s">
        <v>43</v>
      </c>
      <c r="S14" s="369"/>
      <c r="T14" s="261"/>
      <c r="U14" s="384" t="s">
        <v>127</v>
      </c>
      <c r="V14" s="385"/>
      <c r="W14" s="385"/>
      <c r="X14" s="98">
        <v>5</v>
      </c>
      <c r="Y14" s="99">
        <f ca="1">MAX(CR14:CR97)</f>
        <v>0</v>
      </c>
      <c r="Z14" s="8" t="str">
        <f ca="1">IF(Y14&gt;X14,"O","P")</f>
        <v>P</v>
      </c>
      <c r="AA14" s="8"/>
      <c r="AB14" s="275" t="str">
        <f>IF(RIGHT(B28,5)="SCCA)",MID(RIGHT(B28,22),2,20),IF(RIGHT(B28,6)="CRPC2)",MID(RIGHT(B28,14),1,13),MID(RIGHT(B28,17),2,15)))</f>
        <v>CGATS21 CRPC2</v>
      </c>
      <c r="AC14" s="276"/>
      <c r="AD14" s="274"/>
      <c r="AE14" s="136"/>
      <c r="AF14" s="137"/>
      <c r="AG14" s="112">
        <f t="shared" ref="AG14:AG45" ca="1" si="0">L36</f>
        <v>57</v>
      </c>
      <c r="AH14" s="112">
        <f t="shared" ref="AH14:AH45" ca="1" si="1">M36</f>
        <v>-28</v>
      </c>
      <c r="AI14" s="112">
        <f t="shared" ref="AI14:AI45" ca="1" si="2">N36</f>
        <v>-34</v>
      </c>
      <c r="AJ14" s="112">
        <f t="shared" ref="AJ14:AJ45" ca="1" si="3">SQRT(AH14^2+AI14^2)</f>
        <v>44.045431091090478</v>
      </c>
      <c r="AK14" s="112">
        <f ca="1">IF(DEGREES(ATAN2(AH14,AI14))&lt;0,DEGREES(ATAN2(AH14,AI14))+360,IF(DEGREES(ATAN2(AH14,AI14))&gt;360,DEGREES(ATAN2(AH14,AI14))-360,DEGREES(ATAN2(AH14,AI14))))</f>
        <v>230.52754015165618</v>
      </c>
      <c r="AM14" s="112">
        <f t="shared" ref="AM14:AM45" si="4">H36</f>
        <v>57</v>
      </c>
      <c r="AN14" s="112">
        <f t="shared" ref="AN14:AN45" si="5">I36</f>
        <v>-28</v>
      </c>
      <c r="AO14" s="112">
        <f t="shared" ref="AO14:AO45" si="6">J36</f>
        <v>-34</v>
      </c>
      <c r="AP14" s="112">
        <f t="shared" ref="AP14:AP45" si="7">SQRT(AN14^2+AO14^2)</f>
        <v>44.045431091090478</v>
      </c>
      <c r="AQ14" s="112">
        <f>IF(AN14="","",IFERROR(IF(DEGREES(ATAN2(AN14,AO14))&lt;0,DEGREES(ATAN2(AN14,AO14))+360,IF(DEGREES(ATAN2(AN14,AO14))&gt;360,DEGREES(ATAN2(AN14,AO14))-360,DEGREES(ATAN2(AN14,AO14)))),0))</f>
        <v>230.52754015165618</v>
      </c>
      <c r="AS14" s="112">
        <f t="shared" ref="AS14:AS45" ca="1" si="8">AM14-AG14</f>
        <v>0</v>
      </c>
      <c r="AT14" s="112">
        <f t="shared" ref="AT14:AT45" ca="1" si="9">AN14-AH14</f>
        <v>0</v>
      </c>
      <c r="AU14" s="112">
        <f t="shared" ref="AU14:AU45" ca="1" si="10">AO14-AI14</f>
        <v>0</v>
      </c>
      <c r="AV14" s="112">
        <f t="shared" ref="AV14:AV45" ca="1" si="11">AP14-AJ14</f>
        <v>0</v>
      </c>
      <c r="AW14" s="112">
        <f t="shared" ref="AW14" ca="1" si="12">SQRT(ROUND(AT14^2+AU14^2-AV14^2,10))</f>
        <v>0</v>
      </c>
      <c r="AX14" s="109">
        <f t="shared" ref="AX14:AX45" ca="1" si="13">ABS((M36-I36)^2+(N36-J36)^2)^0.5</f>
        <v>0</v>
      </c>
      <c r="AY14" s="112">
        <f t="shared" ref="AY14:AY45" si="14">IF(AM14&lt;16,0.511,(0.040975*AM14)/(1+(0.01765*AM14)))</f>
        <v>1.1642655965703745</v>
      </c>
      <c r="AZ14" s="112">
        <f t="shared" ref="AZ14:AZ45" si="15">0.0638*AP14/(1+(0.0131*AP14))+0.638</f>
        <v>2.4199322452797363</v>
      </c>
      <c r="BA14" s="112">
        <f t="shared" ref="BA14:BA45" si="16">AZ14*(BC14*BB14+1-BC14)</f>
        <v>1.7339620664396811</v>
      </c>
      <c r="BB14" s="112">
        <f t="shared" ref="BB14:BB45" si="17">IF(AND(AQ14&gt;=164,AQ14&lt;=345),0.56+ABS(0.2*(COS(RADIANS(AQ14+168)))),0.36+ABS(0.4*(COS(RADIANS(AQ14+35)))))</f>
        <v>0.71646176892713109</v>
      </c>
      <c r="BC14" s="112">
        <f t="shared" ref="BC14:BC45" si="18">SQRT(AP14^4/(AP14^4+1900))</f>
        <v>0.9997476776342461</v>
      </c>
      <c r="BD14" s="112">
        <f t="shared" ref="BD14:BD45" ca="1" si="19">(AM14+AG14)/2</f>
        <v>57</v>
      </c>
      <c r="BE14" s="112">
        <f t="shared" ref="BE14:BE45" si="20">SQRT(AN14^2+AO14^2)</f>
        <v>44.045431091090478</v>
      </c>
      <c r="BF14" s="112">
        <f t="shared" ref="BF14:BF45" ca="1" si="21">SQRT(AH14^2+AI14^2)</f>
        <v>44.045431091090478</v>
      </c>
      <c r="BG14" s="112">
        <f t="shared" ref="BG14:BG45" ca="1" si="22">(BE14+BF14)/2</f>
        <v>44.045431091090478</v>
      </c>
      <c r="BH14" s="112">
        <f t="shared" ref="BH14:BH45" ca="1" si="23">(1-SQRT(BG14^7/(BG14^7+25^7)))/2</f>
        <v>4.678269994671802E-3</v>
      </c>
      <c r="BI14" s="112">
        <f t="shared" ref="BI14:BI45" ca="1" si="24">AN14*(1+BH14)</f>
        <v>-28.130991559850806</v>
      </c>
      <c r="BJ14" s="112">
        <f t="shared" ref="BJ14:BJ45" ca="1" si="25">AH14*(1+BH14)</f>
        <v>-28.130991559850806</v>
      </c>
      <c r="BK14" s="112">
        <f t="shared" ref="BK14:BK45" ca="1" si="26">SQRT(BI14^2+AO14^2)</f>
        <v>44.128819224407053</v>
      </c>
      <c r="BL14" s="112">
        <f t="shared" ref="BL14:BL45" ca="1" si="27">SQRT(BJ14^2+AI14^2)</f>
        <v>44.128819224407053</v>
      </c>
      <c r="BM14" s="112">
        <f t="shared" ref="BM14:BM45" ca="1" si="28">(BK14+BL14)/2</f>
        <v>44.128819224407053</v>
      </c>
      <c r="BN14" s="112">
        <f t="shared" ref="BN14:BN77" ca="1" si="29">IFERROR(IF(DEGREES(ATAN2(BI14,AO14))&gt;=0,DEGREES(ATAN2(BI14,AO14)),DEGREES(ATAN2(BI14,AO14))+360),0)</f>
        <v>230.39625304681832</v>
      </c>
      <c r="BO14" s="112">
        <f t="shared" ref="BO14:BO45" ca="1" si="30">IF(DEGREES(ATAN2(BJ14,AI14))&gt;=0,DEGREES(ATAN2(BJ14,AI14)),DEGREES(ATAN2(BJ14,AI14))+360)</f>
        <v>230.39625304681832</v>
      </c>
      <c r="BP14" s="112">
        <f t="shared" ref="BP14:BP45" ca="1" si="31">IF((BN14-BO14)&gt;180,(BN14+BO14+360)/2,(BN14+BO14)/2)</f>
        <v>230.39625304681832</v>
      </c>
      <c r="BQ14" s="112">
        <f t="shared" ref="BQ14:BQ45" ca="1" si="32">1-0.17*(COS(RADIANS(BP14-30)))+0.24*COS(RADIANS(2*BP14))+0.32*COS(RADIANS(3*BP14+6))-0.2*COS(RADIANS(4*BP14-63))</f>
        <v>1.5593606173849275</v>
      </c>
      <c r="BR14" s="112">
        <f t="shared" ref="BR14:BR45" ca="1" si="33">IF((BO14-BN14)&lt;=180,BO14-BN14,IF(AND(BO14-BN14&gt;180,BO14&lt;=BN14),BO14-BN14+360,BO14-BN14-360))</f>
        <v>0</v>
      </c>
      <c r="BS14" s="112">
        <f t="shared" ref="BS14:BS45" ca="1" si="34">AG14-AM14</f>
        <v>0</v>
      </c>
      <c r="BT14" s="112">
        <f t="shared" ref="BT14:BT45" ca="1" si="35">BL14-BK14</f>
        <v>0</v>
      </c>
      <c r="BU14" s="112">
        <f t="shared" ref="BU14:BU45" ca="1" si="36">2*SQRT(BK14*BL14)*SIN(RADIANS(BR14/2))</f>
        <v>0</v>
      </c>
      <c r="BV14" s="112">
        <f t="shared" ref="BV14:BV45" ca="1" si="37">1+(0.015*(BD14-50)^2)/SQRT(20+(BD14-50)^2)</f>
        <v>1.0884836020180404</v>
      </c>
      <c r="BW14" s="112">
        <f t="shared" ref="BW14:BW45" ca="1" si="38">1+0.045*BM14</f>
        <v>2.9857968650983171</v>
      </c>
      <c r="BX14" s="112">
        <f t="shared" ref="BX14:BX45" ca="1" si="39">1+0.015*BM14*BQ14</f>
        <v>2.0321911418535885</v>
      </c>
      <c r="BY14" s="112">
        <f t="shared" ref="BY14:BY45" ca="1" si="40">30*EXP(-1*((BP14-275)/25)^2)</f>
        <v>1.2435952679097275</v>
      </c>
      <c r="BZ14" s="112">
        <f t="shared" ref="BZ14:BZ45" ca="1" si="41">2*SQRT(BM14^7/(BM14^7+25^7))</f>
        <v>1.9815296507201263</v>
      </c>
      <c r="CA14" s="112">
        <f t="shared" ref="CA14:CA45" ca="1" si="42">-SIN(2*RADIANS(BY14))*BZ14</f>
        <v>-8.5990523613004216E-2</v>
      </c>
      <c r="CB14" s="112">
        <v>1</v>
      </c>
      <c r="CC14" s="112">
        <v>1</v>
      </c>
      <c r="CD14" s="112">
        <v>1</v>
      </c>
      <c r="CE14" s="112">
        <v>1</v>
      </c>
      <c r="CF14" s="109">
        <f t="shared" ref="CF14:CF45" ca="1" si="43">1+0.045*AJ14</f>
        <v>2.9820443990990713</v>
      </c>
      <c r="CG14" s="112">
        <f t="shared" ref="CG14:CG45" ca="1" si="44">1+0.015*AJ14</f>
        <v>1.6606814663663572</v>
      </c>
      <c r="CI14" s="150" t="str">
        <f t="shared" ref="CI14:CI45" ca="1" si="45">INDEX(INDIRECT("CMYK_"&amp;VLOOKUP($B$31,$AI$2:$AJ$3,2,FALSE)),$AJ105,9)</f>
        <v>C100M0Y0K0</v>
      </c>
      <c r="CJ14" s="125">
        <f t="shared" ref="CJ14:CJ67" ca="1" si="46">AS14</f>
        <v>0</v>
      </c>
      <c r="CK14" s="125">
        <f t="shared" ref="CK14:CK67" ca="1" si="47">AV14</f>
        <v>0</v>
      </c>
      <c r="CL14" s="125">
        <f t="shared" ref="CL14:CL67" ca="1" si="48">AW14</f>
        <v>0</v>
      </c>
      <c r="CM14" s="124">
        <f t="shared" ref="CM14:CM45" ca="1" si="49">SQRT((AS14/($AN$5*AY14))^2+(AV14/($AN$6*AZ14))^2+(AW14/BA14)^2)</f>
        <v>0</v>
      </c>
      <c r="CN14" s="112">
        <f t="shared" ref="CN14:CN45" ca="1" si="50">SQRT((BS14/(CB14*BV14))^2+(BT14/(CC14*BW14))^2+(BU14/(CD14*BX14))^2+CA14*(BT14/(CC14*BW14))*(BU14/(CD14*BX14)))</f>
        <v>0</v>
      </c>
      <c r="CO14" s="112">
        <f t="shared" ref="CO14:CO45" ca="1" si="51">SQRT(AS14^2+(AV14/CF14)^2+(AW14/CG14)^2)</f>
        <v>0</v>
      </c>
      <c r="CP14" s="112">
        <f t="shared" ref="CP14:CP45" ca="1" si="52">SQRT(AS14^2+AT14^2+AU14^2)</f>
        <v>0</v>
      </c>
      <c r="CQ14" s="112" t="str">
        <f ca="1">IF(OR(CI14="C100M0Y0K0",CI14="C0M100Y0K0",CI14="C0M0Y100K0"),CI14,"")</f>
        <v>C100M0Y0K0</v>
      </c>
      <c r="CR14" s="112">
        <f ca="1">IF(CQ14="","",CP14)</f>
        <v>0</v>
      </c>
      <c r="CS14" s="112">
        <f ca="1">IF(CQ14="","",CL14)</f>
        <v>0</v>
      </c>
      <c r="CT14" s="112" t="str">
        <f ca="1">IF(OR(CI14="C100M100Y0K0",CI14="C0M100Y100K0",CI14="C100M0Y100K0"),CI14,"")</f>
        <v/>
      </c>
      <c r="CU14" s="112" t="str">
        <f ca="1">IF(CT14="","",CP14)</f>
        <v/>
      </c>
      <c r="CV14" s="112" t="str">
        <f ca="1">IF(CT14="","",CL14)</f>
        <v/>
      </c>
      <c r="CW14" s="112" t="str">
        <f t="shared" ref="CW14:CW54" ca="1" si="53">IF(OR(CI14="C75M66Y66K0",CI14="C50M40Y40K0",CI14="C25M19Y19K0",CI14="C10M7Y7K0",CI14="C90M85Y85K0",CI14="C3M2Y2K0"),CI14,"")</f>
        <v/>
      </c>
      <c r="CX14" s="112" t="str">
        <f ca="1">IF(CW14="","",CP14)</f>
        <v/>
      </c>
      <c r="CY14" s="112" t="str">
        <f t="shared" ref="CY14:CY62" ca="1" si="54">IFERROR(IF(CW14="","",((($AN14-$AH14)^2+($AO14-$AI14)^2)^0.5)*(1-MAX(0,($DG14-50)/50*0.75))),((($AN14-$AH14)^2+($AO14-$AI14)^2)^0.5)*(1-MAX(0,($DJ14-50)/50*0.75)))</f>
        <v/>
      </c>
      <c r="CZ14" s="112" t="str">
        <f ca="1">IF(CW14="","",CL14)</f>
        <v/>
      </c>
      <c r="DA14" s="112" t="str">
        <f t="shared" ref="DA14:DA77" ca="1" si="55">IFERROR(IF(CW14="","",((($AN14-$AH14)^2+($AO14-$AI14)^2)^0.5)*(1-MAX(0,($DG14-50)/50*0.75))),((($AN14-$AH14)^2+($AO14-$AI14)^2)^0.5)*(1-MAX(0,($DJ14-50)/50*0.75)))</f>
        <v/>
      </c>
      <c r="DB14" s="112" t="str">
        <f t="shared" ref="DB14:DB77" ca="1" si="56">IF(OR(CI14="C90M85Y85K0",CI14="C75M66Y66K0",CI14="C50M40Y40K0",CI14="C25M19Y19K0",CI14="C10M7Y7K0",CI14="C3M2Y2K0",CI14="C0M0Y0K90",CI14="C0M0Y0K75",CI14="C0M0Y0K50",CI14="C0M0Y0K25",CI14="C0M0Y0K10",CI14="C0M0Y0K3"),CI14,"")</f>
        <v/>
      </c>
      <c r="DC14" s="112" t="str">
        <f t="shared" ref="DC14:DC61" ca="1" si="57">IF(DB14="","",ABS(CJ14))</f>
        <v/>
      </c>
      <c r="DD14" s="112" t="str">
        <f t="shared" ref="DD14:DD45" ca="1" si="58">IF(DB14="","",AX14)</f>
        <v/>
      </c>
      <c r="DE14" s="112" t="str">
        <f t="shared" ref="DE14:DE53" ca="1" si="59">IFERROR(IF(DB14="","",ABS(DC14)*(1-MAX(0,(DG14-50)/50*0.75))),ABS(DC14)*(1-MAX(0,(DJ14-50)/50*0.75)))</f>
        <v/>
      </c>
      <c r="DF14" s="112" t="str">
        <f t="shared" ref="DF14:DF74" ca="1" si="60">IFERROR(IF(DB14="","",((($AN14-$AH14)^2+($AO14-$AI14)^2)^0.5)*(1-MAX(0,($DG14-50)/50*0.75))),((($AN14-$AH14)^2+($AO14-$AI14)^2)^0.5)*(1-MAX(0,($DJ14-50)/50*0.75)))</f>
        <v/>
      </c>
      <c r="DG14" s="125">
        <f t="shared" ref="DG14:DG45" ca="1" si="61">IF(INDEX(INDIRECT("CMYK_"&amp;VLOOKUP($B$31,$AI$2:$AJ$3,2,FALSE)),$AJ105,1)=0,"-",INDEX(INDIRECT("CMYK_"&amp;VLOOKUP($B$31,$AI$2:$AJ$3,2,FALSE)),$AJ105,1))</f>
        <v>100</v>
      </c>
      <c r="DH14" s="125" t="str">
        <f t="shared" ref="DH14:DH45" ca="1" si="62">IF(INDEX(INDIRECT("CMYK_"&amp;VLOOKUP($B$31,$AI$2:$AJ$3,2,FALSE)),$AJ105,2)=0,"-",INDEX(INDIRECT("CMYK_"&amp;VLOOKUP($B$31,$AI$2:$AJ$3,2,FALSE)),$AJ105,2))</f>
        <v>-</v>
      </c>
      <c r="DI14" s="125" t="str">
        <f t="shared" ref="DI14:DI45" ca="1" si="63">IF(INDEX(INDIRECT("CMYK_"&amp;VLOOKUP($B$31,$AI$2:$AJ$3,2,FALSE)),$AJ105,3)=0,"-",INDEX(INDIRECT("CMYK_"&amp;VLOOKUP($B$31,$AI$2:$AJ$3,2,FALSE)),$AJ105,3))</f>
        <v>-</v>
      </c>
      <c r="DJ14" s="125" t="str">
        <f t="shared" ref="DJ14:DJ45" ca="1" si="64">IF(INDEX(INDIRECT("CMYK_"&amp;VLOOKUP($B$31,$AI$2:$AJ$3,2,FALSE)),$AJ105,4)=0,"-",INDEX(INDIRECT("CMYK_"&amp;VLOOKUP($B$31,$AI$2:$AJ$3,2,FALSE)),$AJ105,4))</f>
        <v>-</v>
      </c>
      <c r="DK14" s="112">
        <f t="shared" ref="DK14:DM16" ca="1" si="65">AQ105</f>
        <v>0.18169227463212667</v>
      </c>
      <c r="DL14" s="112">
        <f t="shared" ca="1" si="65"/>
        <v>0.24922672618803557</v>
      </c>
      <c r="DM14" s="112">
        <f t="shared" ca="1" si="65"/>
        <v>0.42125745997198738</v>
      </c>
      <c r="DN14" s="112">
        <f t="shared" ref="DN14:DP16" si="66">BS105</f>
        <v>0.18169227463212667</v>
      </c>
      <c r="DO14" s="112">
        <f t="shared" si="66"/>
        <v>0.24922672618803557</v>
      </c>
      <c r="DP14" s="112">
        <f t="shared" si="66"/>
        <v>0.42125745997198738</v>
      </c>
      <c r="DQ14" s="112">
        <f ca="1">AG14</f>
        <v>57</v>
      </c>
      <c r="DR14" s="112">
        <f t="shared" ref="DR14:DR77" ca="1" si="67">AH14</f>
        <v>-28</v>
      </c>
      <c r="DS14" s="112">
        <f t="shared" ref="DS14:DS77" ca="1" si="68">AI14</f>
        <v>-34</v>
      </c>
      <c r="DT14" s="112">
        <f>AM14</f>
        <v>57</v>
      </c>
      <c r="DU14" s="112">
        <f>AN14</f>
        <v>-28</v>
      </c>
      <c r="DV14" s="112">
        <f>AO14</f>
        <v>-34</v>
      </c>
      <c r="DW14" s="260"/>
      <c r="DX14" s="168"/>
      <c r="DY14" s="168"/>
      <c r="DZ14" s="151"/>
      <c r="EA14" s="151"/>
    </row>
    <row r="15" spans="1:133" ht="14" customHeight="1">
      <c r="B15" s="362" t="s">
        <v>220</v>
      </c>
      <c r="C15" s="363"/>
      <c r="D15" s="372" t="s">
        <v>17</v>
      </c>
      <c r="E15" s="373"/>
      <c r="F15" s="314" t="s">
        <v>17</v>
      </c>
      <c r="G15" s="314"/>
      <c r="H15" s="49" t="s">
        <v>17</v>
      </c>
      <c r="I15" s="50" t="s">
        <v>17</v>
      </c>
      <c r="J15" s="51" t="s">
        <v>17</v>
      </c>
      <c r="K15" s="52" t="s">
        <v>17</v>
      </c>
      <c r="L15" s="47" t="s">
        <v>17</v>
      </c>
      <c r="M15" s="53">
        <f ca="1">(VLOOKUP("C25M19Y19K0",$CI$14:$DF$97,24,FALSE))</f>
        <v>0</v>
      </c>
      <c r="N15" s="54">
        <f ca="1">(VLOOKUP("C50M40Y40K0",$CI$14:$DF$97,24,FALSE))</f>
        <v>0</v>
      </c>
      <c r="O15" s="55">
        <f ca="1">(VLOOKUP("C75M66Y66K0",$CI$14:$DF$97,24,FALSE))</f>
        <v>0</v>
      </c>
      <c r="P15" s="215"/>
      <c r="Q15" s="270"/>
      <c r="R15" s="370"/>
      <c r="S15" s="371"/>
      <c r="T15" s="262"/>
      <c r="U15" s="366" t="s">
        <v>126</v>
      </c>
      <c r="V15" s="367"/>
      <c r="W15" s="367"/>
      <c r="X15" s="75">
        <v>2.5</v>
      </c>
      <c r="Y15" s="76">
        <f ca="1">MAX(CS14:CS97)</f>
        <v>0</v>
      </c>
      <c r="Z15" s="8" t="str">
        <f ca="1">IF(Y15&gt;X15,"O","P")</f>
        <v>P</v>
      </c>
      <c r="AA15" s="8"/>
      <c r="AB15" s="273" t="str">
        <f>H31</f>
        <v>M1 - SCCA OFF</v>
      </c>
      <c r="AC15" s="263"/>
      <c r="AD15" s="218"/>
      <c r="AE15" s="136"/>
      <c r="AF15" s="137"/>
      <c r="AG15" s="112">
        <f t="shared" ca="1" si="0"/>
        <v>24.71</v>
      </c>
      <c r="AH15" s="112">
        <f t="shared" ca="1" si="1"/>
        <v>6.96</v>
      </c>
      <c r="AI15" s="112">
        <f t="shared" ca="1" si="2"/>
        <v>-8.49</v>
      </c>
      <c r="AJ15" s="112">
        <f t="shared" ca="1" si="3"/>
        <v>10.978237563470742</v>
      </c>
      <c r="AK15" s="112">
        <f t="shared" ref="AK15:AK45" ca="1" si="69">IF(DEGREES(ATAN2(AH15,AI15))&lt;0,DEGREES(ATAN2(AH15,AI15))+360,IF(DEGREES(ATAN2(AH15,AI15))&gt;360,DEGREES(ATAN2(AH15,AI15))-360,DEGREES(ATAN2(AH15,AI15))))</f>
        <v>309.34448834862047</v>
      </c>
      <c r="AM15" s="112">
        <f t="shared" si="4"/>
        <v>24.71</v>
      </c>
      <c r="AN15" s="112">
        <f t="shared" si="5"/>
        <v>6.96</v>
      </c>
      <c r="AO15" s="112">
        <f t="shared" si="6"/>
        <v>-8.49</v>
      </c>
      <c r="AP15" s="112">
        <f t="shared" si="7"/>
        <v>10.978237563470742</v>
      </c>
      <c r="AQ15" s="112">
        <f t="shared" ref="AQ15:AQ78" si="70">IF(AN15="","",IFERROR(IF(DEGREES(ATAN2(AN15,AO15))&lt;0,DEGREES(ATAN2(AN15,AO15))+360,IF(DEGREES(ATAN2(AN15,AO15))&gt;360,DEGREES(ATAN2(AN15,AO15))-360,DEGREES(ATAN2(AN15,AO15)))),0))</f>
        <v>309.34448834862047</v>
      </c>
      <c r="AS15" s="112">
        <f t="shared" ca="1" si="8"/>
        <v>0</v>
      </c>
      <c r="AT15" s="112">
        <f t="shared" ca="1" si="9"/>
        <v>0</v>
      </c>
      <c r="AU15" s="112">
        <f t="shared" ca="1" si="10"/>
        <v>0</v>
      </c>
      <c r="AV15" s="112">
        <f t="shared" ca="1" si="11"/>
        <v>0</v>
      </c>
      <c r="AW15" s="112">
        <f ca="1">SQRT(ROUND(AT15^2+AU15^2-AV15^2,10))</f>
        <v>0</v>
      </c>
      <c r="AX15" s="109">
        <f t="shared" ca="1" si="13"/>
        <v>0</v>
      </c>
      <c r="AY15" s="112">
        <f t="shared" si="14"/>
        <v>0.70501360773717436</v>
      </c>
      <c r="AZ15" s="112">
        <f t="shared" si="15"/>
        <v>1.2503469358122405</v>
      </c>
      <c r="BA15" s="112">
        <f t="shared" si="16"/>
        <v>0.841010087939428</v>
      </c>
      <c r="BB15" s="112">
        <f t="shared" si="17"/>
        <v>0.6518678798287959</v>
      </c>
      <c r="BC15" s="112">
        <f t="shared" si="18"/>
        <v>0.94038612307517533</v>
      </c>
      <c r="BD15" s="112">
        <f t="shared" ca="1" si="19"/>
        <v>24.71</v>
      </c>
      <c r="BE15" s="112">
        <f t="shared" si="20"/>
        <v>10.978237563470742</v>
      </c>
      <c r="BF15" s="112">
        <f t="shared" ca="1" si="21"/>
        <v>10.978237563470742</v>
      </c>
      <c r="BG15" s="112">
        <f t="shared" ca="1" si="22"/>
        <v>10.978237563470742</v>
      </c>
      <c r="BH15" s="112">
        <f t="shared" ca="1" si="23"/>
        <v>0.47198688039590175</v>
      </c>
      <c r="BI15" s="112">
        <f t="shared" ca="1" si="24"/>
        <v>10.245028687555477</v>
      </c>
      <c r="BJ15" s="112">
        <f t="shared" ca="1" si="25"/>
        <v>10.245028687555477</v>
      </c>
      <c r="BK15" s="112">
        <f t="shared" ca="1" si="26"/>
        <v>13.30566468872693</v>
      </c>
      <c r="BL15" s="112">
        <f t="shared" ca="1" si="27"/>
        <v>13.30566468872693</v>
      </c>
      <c r="BM15" s="112">
        <f t="shared" ca="1" si="28"/>
        <v>13.30566468872693</v>
      </c>
      <c r="BN15" s="112">
        <f t="shared" ca="1" si="29"/>
        <v>320.35164068102006</v>
      </c>
      <c r="BO15" s="112">
        <f t="shared" ca="1" si="30"/>
        <v>320.35164068102006</v>
      </c>
      <c r="BP15" s="112">
        <f t="shared" ca="1" si="31"/>
        <v>320.35164068102006</v>
      </c>
      <c r="BQ15" s="112">
        <f t="shared" ca="1" si="32"/>
        <v>1.0102740332985511</v>
      </c>
      <c r="BR15" s="112">
        <f t="shared" ca="1" si="33"/>
        <v>0</v>
      </c>
      <c r="BS15" s="112">
        <f t="shared" ca="1" si="34"/>
        <v>0</v>
      </c>
      <c r="BT15" s="112">
        <f t="shared" ca="1" si="35"/>
        <v>0</v>
      </c>
      <c r="BU15" s="112">
        <f t="shared" ca="1" si="36"/>
        <v>0</v>
      </c>
      <c r="BV15" s="112">
        <f t="shared" ca="1" si="37"/>
        <v>1.3735543763902367</v>
      </c>
      <c r="BW15" s="112">
        <f t="shared" ca="1" si="38"/>
        <v>1.5987549109927119</v>
      </c>
      <c r="BX15" s="112">
        <f t="shared" ca="1" si="39"/>
        <v>1.201635512961974</v>
      </c>
      <c r="BY15" s="112">
        <f t="shared" ca="1" si="40"/>
        <v>1.1166836675510914</v>
      </c>
      <c r="BZ15" s="112">
        <f t="shared" ca="1" si="41"/>
        <v>0.21865374413738176</v>
      </c>
      <c r="CA15" s="112">
        <f t="shared" ca="1" si="42"/>
        <v>-8.520880247777151E-3</v>
      </c>
      <c r="CB15" s="112">
        <v>1</v>
      </c>
      <c r="CC15" s="112">
        <v>1</v>
      </c>
      <c r="CD15" s="112">
        <v>1</v>
      </c>
      <c r="CE15" s="112">
        <v>1</v>
      </c>
      <c r="CF15" s="109">
        <f t="shared" ca="1" si="43"/>
        <v>1.4940206903561835</v>
      </c>
      <c r="CG15" s="112">
        <f t="shared" ca="1" si="44"/>
        <v>1.1646735634520611</v>
      </c>
      <c r="CI15" s="150" t="str">
        <f t="shared" ca="1" si="45"/>
        <v>C100M100Y0K80</v>
      </c>
      <c r="CJ15" s="125">
        <f t="shared" ca="1" si="46"/>
        <v>0</v>
      </c>
      <c r="CK15" s="125">
        <f t="shared" ca="1" si="47"/>
        <v>0</v>
      </c>
      <c r="CL15" s="125">
        <f t="shared" ca="1" si="48"/>
        <v>0</v>
      </c>
      <c r="CM15" s="124">
        <f t="shared" ca="1" si="49"/>
        <v>0</v>
      </c>
      <c r="CN15" s="112">
        <f t="shared" ca="1" si="50"/>
        <v>0</v>
      </c>
      <c r="CO15" s="112">
        <f t="shared" ca="1" si="51"/>
        <v>0</v>
      </c>
      <c r="CP15" s="112">
        <f t="shared" ca="1" si="52"/>
        <v>0</v>
      </c>
      <c r="CQ15" s="112" t="str">
        <f t="shared" ref="CQ15:CQ67" ca="1" si="71">IF(OR(CI15="C100M0Y0K0",CI15="C0M100Y0K0",CI15="C0M0Y100K0"),CI15,"")</f>
        <v/>
      </c>
      <c r="CR15" s="112" t="str">
        <f t="shared" ref="CR15:CR67" ca="1" si="72">IF(CQ15="","",CP15)</f>
        <v/>
      </c>
      <c r="CS15" s="112" t="str">
        <f t="shared" ref="CS15:CS67" ca="1" si="73">IF(CQ15="","",CL15)</f>
        <v/>
      </c>
      <c r="CT15" s="112" t="str">
        <f t="shared" ref="CT15:CT67" ca="1" si="74">IF(OR(CI15="C100M100Y0K0",CI15="C0M100Y100K0",CI15="C100M0Y100K0"),CI15,"")</f>
        <v/>
      </c>
      <c r="CU15" s="112" t="str">
        <f t="shared" ref="CU15:CU67" ca="1" si="75">IF(CT15="","",CP15)</f>
        <v/>
      </c>
      <c r="CV15" s="112" t="str">
        <f t="shared" ref="CV15:CV67" ca="1" si="76">IF(CT15="","",CL15)</f>
        <v/>
      </c>
      <c r="CW15" s="112" t="str">
        <f t="shared" ca="1" si="53"/>
        <v/>
      </c>
      <c r="CX15" s="112" t="str">
        <f t="shared" ref="CX15:CX67" ca="1" si="77">IF(CW15="","",CP15)</f>
        <v/>
      </c>
      <c r="CY15" s="112" t="str">
        <f t="shared" ca="1" si="54"/>
        <v/>
      </c>
      <c r="CZ15" s="112" t="str">
        <f t="shared" ref="CZ15:CZ67" ca="1" si="78">IF(CW15="","",CL15)</f>
        <v/>
      </c>
      <c r="DA15" s="112" t="str">
        <f t="shared" ca="1" si="55"/>
        <v/>
      </c>
      <c r="DB15" s="112" t="str">
        <f t="shared" ca="1" si="56"/>
        <v/>
      </c>
      <c r="DC15" s="112" t="str">
        <f t="shared" ca="1" si="57"/>
        <v/>
      </c>
      <c r="DD15" s="112" t="str">
        <f t="shared" ca="1" si="58"/>
        <v/>
      </c>
      <c r="DE15" s="112" t="str">
        <f t="shared" ca="1" si="59"/>
        <v/>
      </c>
      <c r="DF15" s="112" t="str">
        <f t="shared" ca="1" si="60"/>
        <v/>
      </c>
      <c r="DG15" s="125">
        <f t="shared" ca="1" si="61"/>
        <v>100</v>
      </c>
      <c r="DH15" s="125">
        <f t="shared" ca="1" si="62"/>
        <v>100</v>
      </c>
      <c r="DI15" s="125" t="str">
        <f t="shared" ca="1" si="63"/>
        <v>-</v>
      </c>
      <c r="DJ15" s="125">
        <f t="shared" ca="1" si="64"/>
        <v>80</v>
      </c>
      <c r="DK15" s="112">
        <f t="shared" ca="1" si="65"/>
        <v>4.6835530154444298E-2</v>
      </c>
      <c r="DL15" s="112">
        <f t="shared" ca="1" si="65"/>
        <v>4.3224436420491813E-2</v>
      </c>
      <c r="DM15" s="112">
        <f t="shared" ca="1" si="65"/>
        <v>5.0222538486826479E-2</v>
      </c>
      <c r="DN15" s="112">
        <f t="shared" si="66"/>
        <v>4.6835530154444298E-2</v>
      </c>
      <c r="DO15" s="112">
        <f t="shared" si="66"/>
        <v>4.3224436420491813E-2</v>
      </c>
      <c r="DP15" s="112">
        <f t="shared" si="66"/>
        <v>5.0222538486826479E-2</v>
      </c>
      <c r="DQ15" s="112">
        <f t="shared" ref="DQ15:DQ78" ca="1" si="79">AG15</f>
        <v>24.71</v>
      </c>
      <c r="DR15" s="112">
        <f t="shared" ca="1" si="67"/>
        <v>6.96</v>
      </c>
      <c r="DS15" s="112">
        <f t="shared" ca="1" si="68"/>
        <v>-8.49</v>
      </c>
      <c r="DT15" s="112">
        <f t="shared" ref="DT15:DT67" si="80">AM15</f>
        <v>24.71</v>
      </c>
      <c r="DU15" s="112">
        <f t="shared" ref="DU15:DU67" si="81">AN15</f>
        <v>6.96</v>
      </c>
      <c r="DV15" s="112">
        <f t="shared" ref="DV15:DV67" si="82">AO15</f>
        <v>-8.49</v>
      </c>
      <c r="DW15" s="260"/>
      <c r="DX15" s="168"/>
      <c r="DY15" s="168"/>
      <c r="DZ15" s="151"/>
      <c r="EA15" s="151"/>
    </row>
    <row r="16" spans="1:133" ht="14" customHeight="1" thickBot="1">
      <c r="B16" s="322" t="s">
        <v>207</v>
      </c>
      <c r="C16" s="305"/>
      <c r="D16" s="320" t="s">
        <v>17</v>
      </c>
      <c r="E16" s="321"/>
      <c r="F16" s="336" t="s">
        <v>17</v>
      </c>
      <c r="G16" s="336"/>
      <c r="H16" s="56" t="s">
        <v>17</v>
      </c>
      <c r="I16" s="57" t="s">
        <v>17</v>
      </c>
      <c r="J16" s="58" t="s">
        <v>17</v>
      </c>
      <c r="K16" s="59" t="s">
        <v>17</v>
      </c>
      <c r="L16" s="175" t="s">
        <v>17</v>
      </c>
      <c r="M16" s="60">
        <f ca="1">(VLOOKUP("C25M19Y19K0",$CI$14:$DF$97,23,FALSE))</f>
        <v>0</v>
      </c>
      <c r="N16" s="61">
        <f ca="1">(VLOOKUP("C50M40Y40K0",$CI$14:$DJ$97,23,FALSE))</f>
        <v>0</v>
      </c>
      <c r="O16" s="62">
        <f ca="1">(VLOOKUP("C75M66Y66K0",$CI$14:$DF$97,23,FALSE))</f>
        <v>0</v>
      </c>
      <c r="Q16" s="71"/>
      <c r="R16" s="9"/>
      <c r="S16" s="9"/>
      <c r="T16" s="9"/>
      <c r="U16" s="9"/>
      <c r="V16" s="9"/>
      <c r="W16" s="9"/>
      <c r="X16" s="9"/>
      <c r="Y16" s="9"/>
      <c r="Z16" s="9"/>
      <c r="AA16" s="9"/>
      <c r="AB16" s="281" t="str">
        <f>IF(LEFT(B31,1)="2","ISO12647-7:2009","ISO12647-7:2013")</f>
        <v>ISO12647-7:2013</v>
      </c>
      <c r="AC16" s="9"/>
      <c r="AD16" s="9"/>
      <c r="AE16" s="135"/>
      <c r="AG16" s="112">
        <f t="shared" ca="1" si="0"/>
        <v>33.9</v>
      </c>
      <c r="AH16" s="112">
        <f t="shared" ca="1" si="1"/>
        <v>3.81</v>
      </c>
      <c r="AI16" s="112">
        <f t="shared" ca="1" si="2"/>
        <v>-21.64</v>
      </c>
      <c r="AJ16" s="112">
        <f t="shared" ca="1" si="3"/>
        <v>21.972840053120123</v>
      </c>
      <c r="AK16" s="112">
        <f t="shared" ca="1" si="69"/>
        <v>279.98532190558058</v>
      </c>
      <c r="AM16" s="112">
        <f t="shared" si="4"/>
        <v>33.9</v>
      </c>
      <c r="AN16" s="112">
        <f t="shared" si="5"/>
        <v>3.81</v>
      </c>
      <c r="AO16" s="112">
        <f t="shared" si="6"/>
        <v>-21.64</v>
      </c>
      <c r="AP16" s="112">
        <f t="shared" si="7"/>
        <v>21.972840053120123</v>
      </c>
      <c r="AQ16" s="112">
        <f t="shared" si="70"/>
        <v>279.98532190558058</v>
      </c>
      <c r="AS16" s="112">
        <f t="shared" ca="1" si="8"/>
        <v>0</v>
      </c>
      <c r="AT16" s="112">
        <f t="shared" ca="1" si="9"/>
        <v>0</v>
      </c>
      <c r="AU16" s="112">
        <f t="shared" ca="1" si="10"/>
        <v>0</v>
      </c>
      <c r="AV16" s="112">
        <f t="shared" ca="1" si="11"/>
        <v>0</v>
      </c>
      <c r="AW16" s="112">
        <f t="shared" ref="AW16:AW79" ca="1" si="83">SQRT(ROUND(AT16^2+AU16^2-AV16^2,10))</f>
        <v>0</v>
      </c>
      <c r="AX16" s="109">
        <f t="shared" ca="1" si="13"/>
        <v>0</v>
      </c>
      <c r="AY16" s="112">
        <f t="shared" si="14"/>
        <v>0.86906218033140725</v>
      </c>
      <c r="AZ16" s="112">
        <f t="shared" si="15"/>
        <v>1.726537876147928</v>
      </c>
      <c r="BA16" s="112">
        <f t="shared" si="16"/>
        <v>0.98202875277301571</v>
      </c>
      <c r="BB16" s="112">
        <f t="shared" si="17"/>
        <v>0.56703110411428881</v>
      </c>
      <c r="BC16" s="112">
        <f t="shared" si="18"/>
        <v>0.99594926570335396</v>
      </c>
      <c r="BD16" s="112">
        <f t="shared" ca="1" si="19"/>
        <v>33.9</v>
      </c>
      <c r="BE16" s="112">
        <f t="shared" si="20"/>
        <v>21.972840053120123</v>
      </c>
      <c r="BF16" s="112">
        <f t="shared" ca="1" si="21"/>
        <v>21.972840053120123</v>
      </c>
      <c r="BG16" s="112">
        <f t="shared" ca="1" si="22"/>
        <v>21.972840053120123</v>
      </c>
      <c r="BH16" s="112">
        <f t="shared" ca="1" si="23"/>
        <v>0.23151548943044492</v>
      </c>
      <c r="BI16" s="112">
        <f t="shared" ca="1" si="24"/>
        <v>4.6920740147299957</v>
      </c>
      <c r="BJ16" s="112">
        <f t="shared" ca="1" si="25"/>
        <v>4.6920740147299957</v>
      </c>
      <c r="BK16" s="112">
        <f t="shared" ca="1" si="26"/>
        <v>22.142835377604751</v>
      </c>
      <c r="BL16" s="112">
        <f t="shared" ca="1" si="27"/>
        <v>22.142835377604751</v>
      </c>
      <c r="BM16" s="112">
        <f t="shared" ca="1" si="28"/>
        <v>22.142835377604751</v>
      </c>
      <c r="BN16" s="112">
        <f t="shared" ca="1" si="29"/>
        <v>282.23373943746105</v>
      </c>
      <c r="BO16" s="112">
        <f t="shared" ca="1" si="30"/>
        <v>282.23373943746105</v>
      </c>
      <c r="BP16" s="112">
        <f t="shared" ca="1" si="31"/>
        <v>282.23373943746105</v>
      </c>
      <c r="BQ16" s="112">
        <f t="shared" ca="1" si="32"/>
        <v>0.42240552789308428</v>
      </c>
      <c r="BR16" s="112">
        <f t="shared" ca="1" si="33"/>
        <v>0</v>
      </c>
      <c r="BS16" s="112">
        <f t="shared" ca="1" si="34"/>
        <v>0</v>
      </c>
      <c r="BT16" s="112">
        <f t="shared" ca="1" si="35"/>
        <v>0</v>
      </c>
      <c r="BU16" s="112">
        <f t="shared" ca="1" si="36"/>
        <v>0</v>
      </c>
      <c r="BV16" s="112">
        <f t="shared" ca="1" si="37"/>
        <v>1.2326898966976056</v>
      </c>
      <c r="BW16" s="112">
        <f t="shared" ca="1" si="38"/>
        <v>1.9964275919922136</v>
      </c>
      <c r="BX16" s="112">
        <f t="shared" ca="1" si="39"/>
        <v>1.1402988410009018</v>
      </c>
      <c r="BY16" s="112">
        <f t="shared" ca="1" si="40"/>
        <v>27.590574303813195</v>
      </c>
      <c r="BZ16" s="112">
        <f t="shared" ca="1" si="41"/>
        <v>1.094588243782924</v>
      </c>
      <c r="CA16" s="112">
        <f t="shared" ca="1" si="42"/>
        <v>-0.89861468517469589</v>
      </c>
      <c r="CB16" s="112">
        <v>1</v>
      </c>
      <c r="CC16" s="112">
        <v>1</v>
      </c>
      <c r="CD16" s="112">
        <v>1</v>
      </c>
      <c r="CE16" s="112">
        <v>1</v>
      </c>
      <c r="CF16" s="109">
        <f t="shared" ca="1" si="43"/>
        <v>1.9887778023904055</v>
      </c>
      <c r="CG16" s="112">
        <f t="shared" ca="1" si="44"/>
        <v>1.329592600796802</v>
      </c>
      <c r="CI16" s="150" t="str">
        <f t="shared" ca="1" si="45"/>
        <v>C100M70Y0K40</v>
      </c>
      <c r="CJ16" s="125">
        <f t="shared" ca="1" si="46"/>
        <v>0</v>
      </c>
      <c r="CK16" s="125">
        <f t="shared" ca="1" si="47"/>
        <v>0</v>
      </c>
      <c r="CL16" s="125">
        <f t="shared" ca="1" si="48"/>
        <v>0</v>
      </c>
      <c r="CM16" s="124">
        <f t="shared" ca="1" si="49"/>
        <v>0</v>
      </c>
      <c r="CN16" s="112">
        <f t="shared" ca="1" si="50"/>
        <v>0</v>
      </c>
      <c r="CO16" s="112">
        <f t="shared" ca="1" si="51"/>
        <v>0</v>
      </c>
      <c r="CP16" s="112">
        <f t="shared" ca="1" si="52"/>
        <v>0</v>
      </c>
      <c r="CQ16" s="112" t="str">
        <f t="shared" ca="1" si="71"/>
        <v/>
      </c>
      <c r="CR16" s="112" t="str">
        <f t="shared" ca="1" si="72"/>
        <v/>
      </c>
      <c r="CS16" s="112" t="str">
        <f t="shared" ca="1" si="73"/>
        <v/>
      </c>
      <c r="CT16" s="112" t="str">
        <f t="shared" ca="1" si="74"/>
        <v/>
      </c>
      <c r="CU16" s="112" t="str">
        <f t="shared" ca="1" si="75"/>
        <v/>
      </c>
      <c r="CV16" s="112" t="str">
        <f t="shared" ca="1" si="76"/>
        <v/>
      </c>
      <c r="CW16" s="112" t="str">
        <f t="shared" ca="1" si="53"/>
        <v/>
      </c>
      <c r="CX16" s="112" t="str">
        <f t="shared" ca="1" si="77"/>
        <v/>
      </c>
      <c r="CY16" s="112" t="str">
        <f t="shared" ca="1" si="54"/>
        <v/>
      </c>
      <c r="CZ16" s="112" t="str">
        <f t="shared" ca="1" si="78"/>
        <v/>
      </c>
      <c r="DA16" s="112" t="str">
        <f t="shared" ca="1" si="55"/>
        <v/>
      </c>
      <c r="DB16" s="112" t="str">
        <f t="shared" ca="1" si="56"/>
        <v/>
      </c>
      <c r="DC16" s="112" t="str">
        <f t="shared" ca="1" si="57"/>
        <v/>
      </c>
      <c r="DD16" s="112" t="str">
        <f t="shared" ca="1" si="58"/>
        <v/>
      </c>
      <c r="DE16" s="112" t="str">
        <f t="shared" ca="1" si="59"/>
        <v/>
      </c>
      <c r="DF16" s="112" t="str">
        <f t="shared" ca="1" si="60"/>
        <v/>
      </c>
      <c r="DG16" s="125">
        <f t="shared" ca="1" si="61"/>
        <v>100</v>
      </c>
      <c r="DH16" s="125">
        <f t="shared" ca="1" si="62"/>
        <v>70</v>
      </c>
      <c r="DI16" s="125" t="str">
        <f t="shared" ca="1" si="63"/>
        <v>-</v>
      </c>
      <c r="DJ16" s="125">
        <f t="shared" ca="1" si="64"/>
        <v>40</v>
      </c>
      <c r="DK16" s="112">
        <f t="shared" ca="1" si="65"/>
        <v>8.0904340540450953E-2</v>
      </c>
      <c r="DL16" s="112">
        <f t="shared" ca="1" si="65"/>
        <v>7.9602676283365453E-2</v>
      </c>
      <c r="DM16" s="112">
        <f t="shared" ca="1" si="65"/>
        <v>0.1287210871918967</v>
      </c>
      <c r="DN16" s="112">
        <f t="shared" si="66"/>
        <v>8.0904340540450953E-2</v>
      </c>
      <c r="DO16" s="112">
        <f t="shared" si="66"/>
        <v>7.9602676283365453E-2</v>
      </c>
      <c r="DP16" s="112">
        <f t="shared" si="66"/>
        <v>0.1287210871918967</v>
      </c>
      <c r="DQ16" s="112">
        <f t="shared" ca="1" si="79"/>
        <v>33.9</v>
      </c>
      <c r="DR16" s="112">
        <f t="shared" ca="1" si="67"/>
        <v>3.81</v>
      </c>
      <c r="DS16" s="112">
        <f t="shared" ca="1" si="68"/>
        <v>-21.64</v>
      </c>
      <c r="DT16" s="112">
        <f t="shared" si="80"/>
        <v>33.9</v>
      </c>
      <c r="DU16" s="112">
        <f t="shared" si="81"/>
        <v>3.81</v>
      </c>
      <c r="DV16" s="112">
        <f t="shared" si="82"/>
        <v>-21.64</v>
      </c>
      <c r="DW16" s="260"/>
      <c r="DX16" s="168"/>
      <c r="DY16" s="168"/>
      <c r="DZ16" s="151"/>
      <c r="EA16" s="151"/>
    </row>
    <row r="17" spans="1:131" ht="14" customHeight="1" thickTop="1">
      <c r="B17" s="26"/>
      <c r="C17" s="26"/>
      <c r="D17" s="26"/>
      <c r="E17" s="26"/>
      <c r="F17" s="26"/>
      <c r="G17" s="26"/>
      <c r="H17" s="26"/>
      <c r="I17" s="26"/>
      <c r="J17" s="26"/>
      <c r="K17" s="26"/>
      <c r="L17" s="26"/>
      <c r="M17" s="26"/>
      <c r="N17" s="26"/>
      <c r="O17" s="26"/>
      <c r="Q17" s="72"/>
      <c r="R17" s="264" t="s">
        <v>44</v>
      </c>
      <c r="S17" s="261"/>
      <c r="T17" s="261"/>
      <c r="U17" s="386" t="s">
        <v>127</v>
      </c>
      <c r="V17" s="388"/>
      <c r="W17" s="388"/>
      <c r="X17" s="73">
        <v>6</v>
      </c>
      <c r="Y17" s="74">
        <f ca="1">MAX(CU14:CU97)</f>
        <v>0</v>
      </c>
      <c r="Z17" s="8" t="str">
        <f t="shared" ref="Z17:Z23" ca="1" si="84">IF(Y17&gt;X17,"O","P")</f>
        <v>P</v>
      </c>
      <c r="AA17" s="8"/>
      <c r="AB17" s="284" t="str">
        <f ca="1">IF(AND(Z13="P",Z22="P",Z23="P",Z14="P",Z17="P",Z15="P",Z19="P",Z18="P",Z19="P",Z20="P",Z21="P"),"Passed","Failed")</f>
        <v>Passed</v>
      </c>
      <c r="AC17" s="285"/>
      <c r="AD17" s="378" t="str">
        <f ca="1">IF(AND(Z13="P",Z22="P",Z23="P",Z14="P",Z17="P",Z15="P",Z19="P",Z18="P",Z19="P",Z20="P",Z21="P"),"P","O")</f>
        <v>P</v>
      </c>
      <c r="AE17" s="379"/>
      <c r="AF17" s="137"/>
      <c r="AG17" s="112">
        <f t="shared" ca="1" si="0"/>
        <v>62.39</v>
      </c>
      <c r="AH17" s="112">
        <f t="shared" ca="1" si="1"/>
        <v>-23.23</v>
      </c>
      <c r="AI17" s="112">
        <f t="shared" ca="1" si="2"/>
        <v>-27.56</v>
      </c>
      <c r="AJ17" s="112">
        <f t="shared" ca="1" si="3"/>
        <v>36.044229773987404</v>
      </c>
      <c r="AK17" s="112">
        <f t="shared" ca="1" si="69"/>
        <v>229.87285460814789</v>
      </c>
      <c r="AM17" s="112">
        <f t="shared" si="4"/>
        <v>62.39</v>
      </c>
      <c r="AN17" s="112">
        <f t="shared" si="5"/>
        <v>-23.23</v>
      </c>
      <c r="AO17" s="112">
        <f t="shared" si="6"/>
        <v>-27.56</v>
      </c>
      <c r="AP17" s="112">
        <f t="shared" si="7"/>
        <v>36.044229773987404</v>
      </c>
      <c r="AQ17" s="112">
        <f t="shared" si="70"/>
        <v>229.87285460814789</v>
      </c>
      <c r="AS17" s="112">
        <f t="shared" ca="1" si="8"/>
        <v>0</v>
      </c>
      <c r="AT17" s="112">
        <f t="shared" ca="1" si="9"/>
        <v>0</v>
      </c>
      <c r="AU17" s="112">
        <f t="shared" ca="1" si="10"/>
        <v>0</v>
      </c>
      <c r="AV17" s="112">
        <f t="shared" ca="1" si="11"/>
        <v>0</v>
      </c>
      <c r="AW17" s="112">
        <f t="shared" ca="1" si="83"/>
        <v>0</v>
      </c>
      <c r="AX17" s="109">
        <f t="shared" ca="1" si="13"/>
        <v>0</v>
      </c>
      <c r="AY17" s="112">
        <f t="shared" si="14"/>
        <v>1.2166620621188011</v>
      </c>
      <c r="AZ17" s="112">
        <f t="shared" si="15"/>
        <v>2.2000527252986841</v>
      </c>
      <c r="BA17" s="112">
        <f t="shared" si="16"/>
        <v>1.5797119143586069</v>
      </c>
      <c r="BB17" s="112">
        <f t="shared" si="17"/>
        <v>0.71787500602672027</v>
      </c>
      <c r="BC17" s="112">
        <f t="shared" si="18"/>
        <v>0.99943764036251104</v>
      </c>
      <c r="BD17" s="112">
        <f t="shared" ca="1" si="19"/>
        <v>62.39</v>
      </c>
      <c r="BE17" s="112">
        <f t="shared" si="20"/>
        <v>36.044229773987404</v>
      </c>
      <c r="BF17" s="112">
        <f t="shared" ca="1" si="21"/>
        <v>36.044229773987404</v>
      </c>
      <c r="BG17" s="112">
        <f t="shared" ca="1" si="22"/>
        <v>36.044229773987404</v>
      </c>
      <c r="BH17" s="112">
        <f t="shared" ca="1" si="23"/>
        <v>1.8254352328389845E-2</v>
      </c>
      <c r="BI17" s="112">
        <f t="shared" ca="1" si="24"/>
        <v>-23.654048604588496</v>
      </c>
      <c r="BJ17" s="112">
        <f t="shared" ca="1" si="25"/>
        <v>-23.654048604588496</v>
      </c>
      <c r="BK17" s="112">
        <f t="shared" ca="1" si="26"/>
        <v>36.318970461567808</v>
      </c>
      <c r="BL17" s="112">
        <f t="shared" ca="1" si="27"/>
        <v>36.318970461567808</v>
      </c>
      <c r="BM17" s="112">
        <f t="shared" ca="1" si="28"/>
        <v>36.318970461567808</v>
      </c>
      <c r="BN17" s="112">
        <f t="shared" ca="1" si="29"/>
        <v>229.36134478968765</v>
      </c>
      <c r="BO17" s="112">
        <f t="shared" ca="1" si="30"/>
        <v>229.36134478968765</v>
      </c>
      <c r="BP17" s="112">
        <f t="shared" ca="1" si="31"/>
        <v>229.36134478968765</v>
      </c>
      <c r="BQ17" s="112">
        <f t="shared" ca="1" si="32"/>
        <v>1.5518546972259284</v>
      </c>
      <c r="BR17" s="112">
        <f t="shared" ca="1" si="33"/>
        <v>0</v>
      </c>
      <c r="BS17" s="112">
        <f t="shared" ca="1" si="34"/>
        <v>0</v>
      </c>
      <c r="BT17" s="112">
        <f t="shared" ca="1" si="35"/>
        <v>0</v>
      </c>
      <c r="BU17" s="112">
        <f t="shared" ca="1" si="36"/>
        <v>0</v>
      </c>
      <c r="BV17" s="112">
        <f t="shared" ca="1" si="37"/>
        <v>1.1748110932243652</v>
      </c>
      <c r="BW17" s="112">
        <f t="shared" ca="1" si="38"/>
        <v>2.634353670770551</v>
      </c>
      <c r="BX17" s="112">
        <f t="shared" ca="1" si="39"/>
        <v>1.8454264736379062</v>
      </c>
      <c r="BY17" s="112">
        <f t="shared" ca="1" si="40"/>
        <v>1.0709846110693306</v>
      </c>
      <c r="BZ17" s="112">
        <f t="shared" ca="1" si="41"/>
        <v>1.9305679128543687</v>
      </c>
      <c r="CA17" s="112">
        <f t="shared" ca="1" si="42"/>
        <v>-7.2156342524931041E-2</v>
      </c>
      <c r="CB17" s="112">
        <v>1</v>
      </c>
      <c r="CC17" s="112">
        <v>1</v>
      </c>
      <c r="CD17" s="112">
        <v>1</v>
      </c>
      <c r="CE17" s="112">
        <v>1</v>
      </c>
      <c r="CF17" s="109">
        <f t="shared" ca="1" si="43"/>
        <v>2.6219903398294333</v>
      </c>
      <c r="CG17" s="112">
        <f t="shared" ca="1" si="44"/>
        <v>1.540663446609811</v>
      </c>
      <c r="CI17" s="150" t="str">
        <f t="shared" ca="1" si="45"/>
        <v>C75M0Y0K0</v>
      </c>
      <c r="CJ17" s="125">
        <f t="shared" ca="1" si="46"/>
        <v>0</v>
      </c>
      <c r="CK17" s="125">
        <f t="shared" ca="1" si="47"/>
        <v>0</v>
      </c>
      <c r="CL17" s="125">
        <f t="shared" ca="1" si="48"/>
        <v>0</v>
      </c>
      <c r="CM17" s="124">
        <f t="shared" ca="1" si="49"/>
        <v>0</v>
      </c>
      <c r="CN17" s="112">
        <f t="shared" ca="1" si="50"/>
        <v>0</v>
      </c>
      <c r="CO17" s="112">
        <f t="shared" ca="1" si="51"/>
        <v>0</v>
      </c>
      <c r="CP17" s="112">
        <f t="shared" ca="1" si="52"/>
        <v>0</v>
      </c>
      <c r="CQ17" s="112" t="str">
        <f t="shared" ca="1" si="71"/>
        <v/>
      </c>
      <c r="CR17" s="112" t="str">
        <f t="shared" ca="1" si="72"/>
        <v/>
      </c>
      <c r="CS17" s="112" t="str">
        <f t="shared" ca="1" si="73"/>
        <v/>
      </c>
      <c r="CT17" s="112" t="str">
        <f t="shared" ca="1" si="74"/>
        <v/>
      </c>
      <c r="CU17" s="112" t="str">
        <f t="shared" ca="1" si="75"/>
        <v/>
      </c>
      <c r="CV17" s="112" t="str">
        <f t="shared" ca="1" si="76"/>
        <v/>
      </c>
      <c r="CW17" s="112" t="str">
        <f t="shared" ca="1" si="53"/>
        <v/>
      </c>
      <c r="CX17" s="112" t="str">
        <f t="shared" ca="1" si="77"/>
        <v/>
      </c>
      <c r="CY17" s="112" t="str">
        <f t="shared" ca="1" si="54"/>
        <v/>
      </c>
      <c r="CZ17" s="112" t="str">
        <f t="shared" ca="1" si="78"/>
        <v/>
      </c>
      <c r="DA17" s="112" t="str">
        <f t="shared" ca="1" si="55"/>
        <v/>
      </c>
      <c r="DB17" s="112" t="str">
        <f t="shared" ca="1" si="56"/>
        <v/>
      </c>
      <c r="DC17" s="112" t="str">
        <f t="shared" ca="1" si="57"/>
        <v/>
      </c>
      <c r="DD17" s="112" t="str">
        <f t="shared" ca="1" si="58"/>
        <v/>
      </c>
      <c r="DE17" s="112" t="str">
        <f t="shared" ca="1" si="59"/>
        <v/>
      </c>
      <c r="DF17" s="112" t="str">
        <f t="shared" ca="1" si="60"/>
        <v/>
      </c>
      <c r="DG17" s="125">
        <f t="shared" ca="1" si="61"/>
        <v>75</v>
      </c>
      <c r="DH17" s="125" t="str">
        <f t="shared" ca="1" si="62"/>
        <v>-</v>
      </c>
      <c r="DI17" s="125" t="str">
        <f t="shared" ca="1" si="63"/>
        <v>-</v>
      </c>
      <c r="DJ17" s="125" t="str">
        <f t="shared" ca="1" si="64"/>
        <v>-</v>
      </c>
      <c r="DK17" s="112">
        <f t="shared" ref="DK17:DK67" ca="1" si="85">AQ108</f>
        <v>0.24031072978106643</v>
      </c>
      <c r="DL17" s="112">
        <f t="shared" ref="DL17:DL67" ca="1" si="86">AR108</f>
        <v>0.30860860090550563</v>
      </c>
      <c r="DM17" s="112">
        <f t="shared" ref="DM17:DM67" ca="1" si="87">AS108</f>
        <v>0.44421730067079557</v>
      </c>
      <c r="DN17" s="112">
        <f t="shared" ref="DN17:DN45" si="88">BS108</f>
        <v>0.24031072978106643</v>
      </c>
      <c r="DO17" s="112">
        <f t="shared" ref="DO17:DO45" si="89">BT108</f>
        <v>0.30860860090550563</v>
      </c>
      <c r="DP17" s="112">
        <f t="shared" ref="DP17:DP45" si="90">BU108</f>
        <v>0.44421730067079557</v>
      </c>
      <c r="DQ17" s="112">
        <f t="shared" ca="1" si="79"/>
        <v>62.39</v>
      </c>
      <c r="DR17" s="112">
        <f t="shared" ca="1" si="67"/>
        <v>-23.23</v>
      </c>
      <c r="DS17" s="112">
        <f t="shared" ca="1" si="68"/>
        <v>-27.56</v>
      </c>
      <c r="DT17" s="112">
        <f t="shared" si="80"/>
        <v>62.39</v>
      </c>
      <c r="DU17" s="112">
        <f t="shared" si="81"/>
        <v>-23.23</v>
      </c>
      <c r="DV17" s="112">
        <f t="shared" si="82"/>
        <v>-27.56</v>
      </c>
      <c r="DW17" s="260"/>
      <c r="DX17" s="168"/>
      <c r="DY17" s="168"/>
      <c r="DZ17" s="151"/>
      <c r="EA17" s="151"/>
    </row>
    <row r="18" spans="1:131" ht="14" customHeight="1" thickBot="1">
      <c r="B18" s="63" t="s">
        <v>39</v>
      </c>
      <c r="C18" s="63"/>
      <c r="D18" s="26"/>
      <c r="E18" s="26"/>
      <c r="F18" s="26"/>
      <c r="G18" s="26"/>
      <c r="H18" s="26"/>
      <c r="I18" s="26"/>
      <c r="J18" s="26"/>
      <c r="K18" s="26"/>
      <c r="L18" s="26"/>
      <c r="M18" s="26"/>
      <c r="N18" s="26"/>
      <c r="O18" s="26"/>
      <c r="Q18" s="71"/>
      <c r="R18" s="368" t="s">
        <v>40</v>
      </c>
      <c r="S18" s="391"/>
      <c r="T18" s="261"/>
      <c r="U18" s="389" t="s">
        <v>210</v>
      </c>
      <c r="V18" s="390"/>
      <c r="W18" s="390"/>
      <c r="X18" s="96">
        <v>1.5</v>
      </c>
      <c r="Y18" s="97">
        <f ca="1">AVERAGE(CY14:CY97)</f>
        <v>0</v>
      </c>
      <c r="Z18" s="8" t="str">
        <f t="shared" ca="1" si="84"/>
        <v>P</v>
      </c>
      <c r="AA18" s="8"/>
      <c r="AB18" s="285"/>
      <c r="AC18" s="285"/>
      <c r="AD18" s="378"/>
      <c r="AE18" s="379"/>
      <c r="AF18" s="106"/>
      <c r="AG18" s="112">
        <f t="shared" ca="1" si="0"/>
        <v>35</v>
      </c>
      <c r="AH18" s="112">
        <f t="shared" ca="1" si="1"/>
        <v>9</v>
      </c>
      <c r="AI18" s="112">
        <f t="shared" ca="1" si="2"/>
        <v>-32</v>
      </c>
      <c r="AJ18" s="112">
        <f t="shared" ca="1" si="3"/>
        <v>33.241540277189323</v>
      </c>
      <c r="AK18" s="112">
        <f t="shared" ca="1" si="69"/>
        <v>285.70863782901574</v>
      </c>
      <c r="AM18" s="112">
        <f t="shared" si="4"/>
        <v>35</v>
      </c>
      <c r="AN18" s="112">
        <f t="shared" si="5"/>
        <v>9</v>
      </c>
      <c r="AO18" s="112">
        <f t="shared" si="6"/>
        <v>-32</v>
      </c>
      <c r="AP18" s="112">
        <f t="shared" si="7"/>
        <v>33.241540277189323</v>
      </c>
      <c r="AQ18" s="112">
        <f t="shared" si="70"/>
        <v>285.70863782901574</v>
      </c>
      <c r="AS18" s="112">
        <f t="shared" ca="1" si="8"/>
        <v>0</v>
      </c>
      <c r="AT18" s="112">
        <f t="shared" ca="1" si="9"/>
        <v>0</v>
      </c>
      <c r="AU18" s="112">
        <f t="shared" ca="1" si="10"/>
        <v>0</v>
      </c>
      <c r="AV18" s="112">
        <f t="shared" ca="1" si="11"/>
        <v>0</v>
      </c>
      <c r="AW18" s="112">
        <f t="shared" ca="1" si="83"/>
        <v>0</v>
      </c>
      <c r="AX18" s="109">
        <f t="shared" ca="1" si="13"/>
        <v>0</v>
      </c>
      <c r="AY18" s="112">
        <f t="shared" si="14"/>
        <v>0.88649358677175083</v>
      </c>
      <c r="AZ18" s="112">
        <f t="shared" si="15"/>
        <v>2.1154386590297674</v>
      </c>
      <c r="BA18" s="112">
        <f t="shared" si="16"/>
        <v>1.2127142058864868</v>
      </c>
      <c r="BB18" s="112">
        <f t="shared" si="17"/>
        <v>0.5729365503674414</v>
      </c>
      <c r="BC18" s="112">
        <f t="shared" si="18"/>
        <v>0.9992228719837305</v>
      </c>
      <c r="BD18" s="112">
        <f t="shared" ca="1" si="19"/>
        <v>35</v>
      </c>
      <c r="BE18" s="112">
        <f t="shared" si="20"/>
        <v>33.241540277189323</v>
      </c>
      <c r="BF18" s="112">
        <f t="shared" ca="1" si="21"/>
        <v>33.241540277189323</v>
      </c>
      <c r="BG18" s="112">
        <f t="shared" ca="1" si="22"/>
        <v>33.241540277189323</v>
      </c>
      <c r="BH18" s="112">
        <f t="shared" ca="1" si="23"/>
        <v>3.0901027329320707E-2</v>
      </c>
      <c r="BI18" s="112">
        <f t="shared" ca="1" si="24"/>
        <v>9.2781092459638863</v>
      </c>
      <c r="BJ18" s="112">
        <f t="shared" ca="1" si="25"/>
        <v>9.2781092459638863</v>
      </c>
      <c r="BK18" s="112">
        <f t="shared" ca="1" si="26"/>
        <v>33.317912767459497</v>
      </c>
      <c r="BL18" s="112">
        <f t="shared" ca="1" si="27"/>
        <v>33.317912767459497</v>
      </c>
      <c r="BM18" s="112">
        <f t="shared" ca="1" si="28"/>
        <v>33.317912767459497</v>
      </c>
      <c r="BN18" s="112">
        <f t="shared" ca="1" si="29"/>
        <v>286.16903620831113</v>
      </c>
      <c r="BO18" s="112">
        <f t="shared" ca="1" si="30"/>
        <v>286.16903620831113</v>
      </c>
      <c r="BP18" s="112">
        <f t="shared" ca="1" si="31"/>
        <v>286.16903620831113</v>
      </c>
      <c r="BQ18" s="112">
        <f t="shared" ca="1" si="32"/>
        <v>0.37740787928007125</v>
      </c>
      <c r="BR18" s="112">
        <f t="shared" ca="1" si="33"/>
        <v>0</v>
      </c>
      <c r="BS18" s="112">
        <f t="shared" ca="1" si="34"/>
        <v>0</v>
      </c>
      <c r="BT18" s="112">
        <f t="shared" ca="1" si="35"/>
        <v>0</v>
      </c>
      <c r="BU18" s="112">
        <f t="shared" ca="1" si="36"/>
        <v>0</v>
      </c>
      <c r="BV18" s="112">
        <f t="shared" ca="1" si="37"/>
        <v>1.2156208406874798</v>
      </c>
      <c r="BW18" s="112">
        <f t="shared" ca="1" si="38"/>
        <v>2.499306074535677</v>
      </c>
      <c r="BX18" s="112">
        <f t="shared" ca="1" si="39"/>
        <v>1.1886166419940793</v>
      </c>
      <c r="BY18" s="112">
        <f t="shared" ca="1" si="40"/>
        <v>24.571852731706784</v>
      </c>
      <c r="BZ18" s="112">
        <f t="shared" ca="1" si="41"/>
        <v>1.8781893422570541</v>
      </c>
      <c r="CA18" s="112">
        <f t="shared" ca="1" si="42"/>
        <v>-1.4205735581190144</v>
      </c>
      <c r="CB18" s="112">
        <v>1</v>
      </c>
      <c r="CC18" s="112">
        <v>1</v>
      </c>
      <c r="CD18" s="112">
        <v>1</v>
      </c>
      <c r="CE18" s="112">
        <v>1</v>
      </c>
      <c r="CF18" s="109">
        <f t="shared" ca="1" si="43"/>
        <v>2.4958693124735194</v>
      </c>
      <c r="CG18" s="112">
        <f t="shared" ca="1" si="44"/>
        <v>1.4986231041578399</v>
      </c>
      <c r="CI18" s="150" t="str">
        <f t="shared" ca="1" si="45"/>
        <v>C100M100Y0K0</v>
      </c>
      <c r="CJ18" s="125">
        <f t="shared" ca="1" si="46"/>
        <v>0</v>
      </c>
      <c r="CK18" s="125">
        <f t="shared" ca="1" si="47"/>
        <v>0</v>
      </c>
      <c r="CL18" s="125">
        <f t="shared" ca="1" si="48"/>
        <v>0</v>
      </c>
      <c r="CM18" s="124">
        <f t="shared" ca="1" si="49"/>
        <v>0</v>
      </c>
      <c r="CN18" s="112">
        <f t="shared" ca="1" si="50"/>
        <v>0</v>
      </c>
      <c r="CO18" s="112">
        <f t="shared" ca="1" si="51"/>
        <v>0</v>
      </c>
      <c r="CP18" s="112">
        <f t="shared" ca="1" si="52"/>
        <v>0</v>
      </c>
      <c r="CQ18" s="112" t="str">
        <f t="shared" ca="1" si="71"/>
        <v/>
      </c>
      <c r="CR18" s="112" t="str">
        <f t="shared" ca="1" si="72"/>
        <v/>
      </c>
      <c r="CS18" s="112" t="str">
        <f t="shared" ca="1" si="73"/>
        <v/>
      </c>
      <c r="CT18" s="112" t="str">
        <f t="shared" ca="1" si="74"/>
        <v>C100M100Y0K0</v>
      </c>
      <c r="CU18" s="112">
        <f t="shared" ca="1" si="75"/>
        <v>0</v>
      </c>
      <c r="CV18" s="112">
        <f ca="1">IF(CT18="","",CL18)</f>
        <v>0</v>
      </c>
      <c r="CW18" s="112" t="str">
        <f t="shared" ca="1" si="53"/>
        <v/>
      </c>
      <c r="CX18" s="112" t="str">
        <f t="shared" ca="1" si="77"/>
        <v/>
      </c>
      <c r="CY18" s="112" t="str">
        <f t="shared" ca="1" si="54"/>
        <v/>
      </c>
      <c r="CZ18" s="112" t="str">
        <f t="shared" ca="1" si="78"/>
        <v/>
      </c>
      <c r="DA18" s="112" t="str">
        <f t="shared" ca="1" si="55"/>
        <v/>
      </c>
      <c r="DB18" s="112" t="str">
        <f t="shared" ca="1" si="56"/>
        <v/>
      </c>
      <c r="DC18" s="112" t="str">
        <f t="shared" ca="1" si="57"/>
        <v/>
      </c>
      <c r="DD18" s="112" t="str">
        <f t="shared" ca="1" si="58"/>
        <v/>
      </c>
      <c r="DE18" s="112" t="str">
        <f t="shared" ca="1" si="59"/>
        <v/>
      </c>
      <c r="DF18" s="112" t="str">
        <f t="shared" ca="1" si="60"/>
        <v/>
      </c>
      <c r="DG18" s="125">
        <f t="shared" ca="1" si="61"/>
        <v>100</v>
      </c>
      <c r="DH18" s="125">
        <f t="shared" ca="1" si="62"/>
        <v>100</v>
      </c>
      <c r="DI18" s="125" t="str">
        <f t="shared" ca="1" si="63"/>
        <v>-</v>
      </c>
      <c r="DJ18" s="125" t="str">
        <f t="shared" ca="1" si="64"/>
        <v>-</v>
      </c>
      <c r="DK18" s="112">
        <f t="shared" ca="1" si="85"/>
        <v>9.2423466298765897E-2</v>
      </c>
      <c r="DL18" s="112">
        <f t="shared" ca="1" si="86"/>
        <v>8.4983881052933696E-2</v>
      </c>
      <c r="DM18" s="112">
        <f t="shared" ca="1" si="87"/>
        <v>0.17787137238234857</v>
      </c>
      <c r="DN18" s="112">
        <f t="shared" si="88"/>
        <v>9.2423466298765897E-2</v>
      </c>
      <c r="DO18" s="112">
        <f t="shared" si="89"/>
        <v>8.4983881052933696E-2</v>
      </c>
      <c r="DP18" s="112">
        <f t="shared" si="90"/>
        <v>0.17787137238234857</v>
      </c>
      <c r="DQ18" s="112">
        <f t="shared" ca="1" si="79"/>
        <v>35</v>
      </c>
      <c r="DR18" s="112">
        <f t="shared" ca="1" si="67"/>
        <v>9</v>
      </c>
      <c r="DS18" s="112">
        <f t="shared" ca="1" si="68"/>
        <v>-32</v>
      </c>
      <c r="DT18" s="112">
        <f t="shared" si="80"/>
        <v>35</v>
      </c>
      <c r="DU18" s="112">
        <f t="shared" si="81"/>
        <v>9</v>
      </c>
      <c r="DV18" s="112">
        <f t="shared" si="82"/>
        <v>-32</v>
      </c>
      <c r="DW18" s="260"/>
      <c r="DX18" s="168"/>
      <c r="DY18" s="168"/>
      <c r="DZ18" s="151"/>
      <c r="EA18" s="151"/>
    </row>
    <row r="19" spans="1:131" ht="14" customHeight="1" thickTop="1">
      <c r="B19" s="374"/>
      <c r="C19" s="375"/>
      <c r="D19" s="337" t="s">
        <v>32</v>
      </c>
      <c r="E19" s="338"/>
      <c r="F19" s="338"/>
      <c r="G19" s="339"/>
      <c r="H19" s="364" t="s">
        <v>43</v>
      </c>
      <c r="I19" s="339"/>
      <c r="J19" s="364" t="s">
        <v>44</v>
      </c>
      <c r="K19" s="339"/>
      <c r="L19" s="364" t="s">
        <v>40</v>
      </c>
      <c r="M19" s="339"/>
      <c r="N19" s="364" t="s">
        <v>16</v>
      </c>
      <c r="O19" s="361"/>
      <c r="Q19" s="71"/>
      <c r="R19" s="392"/>
      <c r="S19" s="393"/>
      <c r="T19" s="262"/>
      <c r="U19" s="366" t="s">
        <v>221</v>
      </c>
      <c r="V19" s="367"/>
      <c r="W19" s="367"/>
      <c r="X19" s="75">
        <v>3</v>
      </c>
      <c r="Y19" s="76">
        <f ca="1">MAX(CY14:CY97)</f>
        <v>0</v>
      </c>
      <c r="Z19" s="8" t="str">
        <f t="shared" ca="1" si="84"/>
        <v>P</v>
      </c>
      <c r="AA19" s="8"/>
      <c r="AB19" s="285"/>
      <c r="AC19" s="285"/>
      <c r="AD19" s="378"/>
      <c r="AE19" s="379"/>
      <c r="AF19" s="106"/>
      <c r="AG19" s="112">
        <f t="shared" ca="1" si="0"/>
        <v>31.24</v>
      </c>
      <c r="AH19" s="112">
        <f t="shared" ca="1" si="1"/>
        <v>9.84</v>
      </c>
      <c r="AI19" s="112">
        <f t="shared" ca="1" si="2"/>
        <v>-20.71</v>
      </c>
      <c r="AJ19" s="112">
        <f t="shared" ca="1" si="3"/>
        <v>22.928796305083264</v>
      </c>
      <c r="AK19" s="112">
        <f t="shared" ca="1" si="69"/>
        <v>295.41392530218218</v>
      </c>
      <c r="AM19" s="112">
        <f t="shared" si="4"/>
        <v>31.24</v>
      </c>
      <c r="AN19" s="112">
        <f t="shared" si="5"/>
        <v>9.84</v>
      </c>
      <c r="AO19" s="112">
        <f t="shared" si="6"/>
        <v>-20.71</v>
      </c>
      <c r="AP19" s="112">
        <f t="shared" si="7"/>
        <v>22.928796305083264</v>
      </c>
      <c r="AQ19" s="112">
        <f t="shared" si="70"/>
        <v>295.41392530218218</v>
      </c>
      <c r="AS19" s="112">
        <f t="shared" ca="1" si="8"/>
        <v>0</v>
      </c>
      <c r="AT19" s="112">
        <f t="shared" ca="1" si="9"/>
        <v>0</v>
      </c>
      <c r="AU19" s="112">
        <f t="shared" ca="1" si="10"/>
        <v>0</v>
      </c>
      <c r="AV19" s="112">
        <f t="shared" ca="1" si="11"/>
        <v>0</v>
      </c>
      <c r="AW19" s="112">
        <f t="shared" ca="1" si="83"/>
        <v>0</v>
      </c>
      <c r="AX19" s="109">
        <f t="shared" ca="1" si="13"/>
        <v>0</v>
      </c>
      <c r="AY19" s="112">
        <f t="shared" si="14"/>
        <v>0.82510671103129707</v>
      </c>
      <c r="AZ19" s="112">
        <f t="shared" si="15"/>
        <v>1.7629569880872928</v>
      </c>
      <c r="BA19" s="112">
        <f t="shared" si="16"/>
        <v>1.0714244205720993</v>
      </c>
      <c r="BB19" s="112">
        <f t="shared" si="17"/>
        <v>0.60639686448089392</v>
      </c>
      <c r="BC19" s="112">
        <f t="shared" si="18"/>
        <v>0.99658046934479882</v>
      </c>
      <c r="BD19" s="112">
        <f t="shared" ca="1" si="19"/>
        <v>31.24</v>
      </c>
      <c r="BE19" s="112">
        <f t="shared" si="20"/>
        <v>22.928796305083264</v>
      </c>
      <c r="BF19" s="112">
        <f t="shared" ca="1" si="21"/>
        <v>22.928796305083264</v>
      </c>
      <c r="BG19" s="112">
        <f t="shared" ca="1" si="22"/>
        <v>22.928796305083264</v>
      </c>
      <c r="BH19" s="112">
        <f t="shared" ca="1" si="23"/>
        <v>0.20288267714536184</v>
      </c>
      <c r="BI19" s="112">
        <f t="shared" ca="1" si="24"/>
        <v>11.836365543110359</v>
      </c>
      <c r="BJ19" s="112">
        <f t="shared" ca="1" si="25"/>
        <v>11.836365543110359</v>
      </c>
      <c r="BK19" s="112">
        <f t="shared" ca="1" si="26"/>
        <v>23.853797376311601</v>
      </c>
      <c r="BL19" s="112">
        <f t="shared" ca="1" si="27"/>
        <v>23.853797376311601</v>
      </c>
      <c r="BM19" s="112">
        <f t="shared" ca="1" si="28"/>
        <v>23.853797376311601</v>
      </c>
      <c r="BN19" s="112">
        <f t="shared" ca="1" si="29"/>
        <v>299.74921874274776</v>
      </c>
      <c r="BO19" s="112">
        <f t="shared" ca="1" si="30"/>
        <v>299.74921874274776</v>
      </c>
      <c r="BP19" s="112">
        <f t="shared" ca="1" si="31"/>
        <v>299.74921874274776</v>
      </c>
      <c r="BQ19" s="112">
        <f t="shared" ca="1" si="32"/>
        <v>0.44842283579534375</v>
      </c>
      <c r="BR19" s="112">
        <f t="shared" ca="1" si="33"/>
        <v>0</v>
      </c>
      <c r="BS19" s="112">
        <f t="shared" ca="1" si="34"/>
        <v>0</v>
      </c>
      <c r="BT19" s="112">
        <f t="shared" ca="1" si="35"/>
        <v>0</v>
      </c>
      <c r="BU19" s="112">
        <f t="shared" ca="1" si="36"/>
        <v>0</v>
      </c>
      <c r="BV19" s="112">
        <f t="shared" ca="1" si="37"/>
        <v>1.2737296770052635</v>
      </c>
      <c r="BW19" s="112">
        <f t="shared" ca="1" si="38"/>
        <v>2.0734208819340223</v>
      </c>
      <c r="BX19" s="112">
        <f t="shared" ca="1" si="39"/>
        <v>1.1604488119595977</v>
      </c>
      <c r="BY19" s="112">
        <f t="shared" ca="1" si="40"/>
        <v>11.258903707127011</v>
      </c>
      <c r="BZ19" s="112">
        <f t="shared" ca="1" si="41"/>
        <v>1.2939847243225746</v>
      </c>
      <c r="CA19" s="112">
        <f t="shared" ca="1" si="42"/>
        <v>-0.49555804647986595</v>
      </c>
      <c r="CB19" s="112">
        <v>1</v>
      </c>
      <c r="CC19" s="112">
        <v>1</v>
      </c>
      <c r="CD19" s="112">
        <v>1</v>
      </c>
      <c r="CE19" s="112">
        <v>1</v>
      </c>
      <c r="CF19" s="109">
        <f t="shared" ca="1" si="43"/>
        <v>2.0317958337287467</v>
      </c>
      <c r="CG19" s="112">
        <f t="shared" ca="1" si="44"/>
        <v>1.343931944576249</v>
      </c>
      <c r="CI19" s="150" t="str">
        <f t="shared" ca="1" si="45"/>
        <v>C100M100Y0K40</v>
      </c>
      <c r="CJ19" s="125">
        <f t="shared" ca="1" si="46"/>
        <v>0</v>
      </c>
      <c r="CK19" s="125">
        <f t="shared" ca="1" si="47"/>
        <v>0</v>
      </c>
      <c r="CL19" s="125">
        <f t="shared" ca="1" si="48"/>
        <v>0</v>
      </c>
      <c r="CM19" s="124">
        <f t="shared" ca="1" si="49"/>
        <v>0</v>
      </c>
      <c r="CN19" s="112">
        <f t="shared" ca="1" si="50"/>
        <v>0</v>
      </c>
      <c r="CO19" s="112">
        <f t="shared" ca="1" si="51"/>
        <v>0</v>
      </c>
      <c r="CP19" s="112">
        <f t="shared" ca="1" si="52"/>
        <v>0</v>
      </c>
      <c r="CQ19" s="112" t="str">
        <f t="shared" ca="1" si="71"/>
        <v/>
      </c>
      <c r="CR19" s="112" t="str">
        <f t="shared" ca="1" si="72"/>
        <v/>
      </c>
      <c r="CS19" s="112" t="str">
        <f t="shared" ca="1" si="73"/>
        <v/>
      </c>
      <c r="CT19" s="112" t="str">
        <f t="shared" ca="1" si="74"/>
        <v/>
      </c>
      <c r="CU19" s="112" t="str">
        <f t="shared" ca="1" si="75"/>
        <v/>
      </c>
      <c r="CV19" s="112" t="str">
        <f t="shared" ca="1" si="76"/>
        <v/>
      </c>
      <c r="CW19" s="112" t="str">
        <f t="shared" ca="1" si="53"/>
        <v/>
      </c>
      <c r="CX19" s="112" t="str">
        <f t="shared" ca="1" si="77"/>
        <v/>
      </c>
      <c r="CY19" s="112" t="str">
        <f t="shared" ca="1" si="54"/>
        <v/>
      </c>
      <c r="CZ19" s="112" t="str">
        <f t="shared" ca="1" si="78"/>
        <v/>
      </c>
      <c r="DA19" s="112" t="str">
        <f t="shared" ca="1" si="55"/>
        <v/>
      </c>
      <c r="DB19" s="112" t="str">
        <f t="shared" ca="1" si="56"/>
        <v/>
      </c>
      <c r="DC19" s="112" t="str">
        <f t="shared" ca="1" si="57"/>
        <v/>
      </c>
      <c r="DD19" s="112" t="str">
        <f t="shared" ca="1" si="58"/>
        <v/>
      </c>
      <c r="DE19" s="112" t="str">
        <f t="shared" ca="1" si="59"/>
        <v/>
      </c>
      <c r="DF19" s="112" t="str">
        <f t="shared" ca="1" si="60"/>
        <v/>
      </c>
      <c r="DG19" s="125">
        <f t="shared" ca="1" si="61"/>
        <v>100</v>
      </c>
      <c r="DH19" s="125">
        <f t="shared" ca="1" si="62"/>
        <v>100</v>
      </c>
      <c r="DI19" s="125" t="str">
        <f t="shared" ca="1" si="63"/>
        <v>-</v>
      </c>
      <c r="DJ19" s="125">
        <f t="shared" ca="1" si="64"/>
        <v>40</v>
      </c>
      <c r="DK19" s="112">
        <f t="shared" ca="1" si="85"/>
        <v>7.5025835208550606E-2</v>
      </c>
      <c r="DL19" s="112">
        <f t="shared" ca="1" si="86"/>
        <v>6.7539166878510776E-2</v>
      </c>
      <c r="DM19" s="112">
        <f t="shared" ca="1" si="87"/>
        <v>0.10993398743774037</v>
      </c>
      <c r="DN19" s="112">
        <f t="shared" si="88"/>
        <v>7.5025835208550606E-2</v>
      </c>
      <c r="DO19" s="112">
        <f t="shared" si="89"/>
        <v>6.7539166878510776E-2</v>
      </c>
      <c r="DP19" s="112">
        <f t="shared" si="90"/>
        <v>0.10993398743774037</v>
      </c>
      <c r="DQ19" s="112">
        <f t="shared" ca="1" si="79"/>
        <v>31.24</v>
      </c>
      <c r="DR19" s="112">
        <f t="shared" ca="1" si="67"/>
        <v>9.84</v>
      </c>
      <c r="DS19" s="112">
        <f t="shared" ca="1" si="68"/>
        <v>-20.71</v>
      </c>
      <c r="DT19" s="112">
        <f t="shared" si="80"/>
        <v>31.24</v>
      </c>
      <c r="DU19" s="112">
        <f t="shared" si="81"/>
        <v>9.84</v>
      </c>
      <c r="DV19" s="112">
        <f t="shared" si="82"/>
        <v>-20.71</v>
      </c>
      <c r="DW19" s="260"/>
      <c r="DX19" s="168"/>
      <c r="DY19" s="168"/>
      <c r="DZ19" s="151"/>
      <c r="EA19" s="151"/>
    </row>
    <row r="20" spans="1:131" ht="14" customHeight="1" thickBot="1">
      <c r="B20" s="376"/>
      <c r="C20" s="377"/>
      <c r="D20" s="322" t="s">
        <v>25</v>
      </c>
      <c r="E20" s="323"/>
      <c r="F20" s="323"/>
      <c r="G20" s="324"/>
      <c r="H20" s="209" t="s">
        <v>25</v>
      </c>
      <c r="I20" s="209" t="s">
        <v>41</v>
      </c>
      <c r="J20" s="304" t="s">
        <v>25</v>
      </c>
      <c r="K20" s="328"/>
      <c r="L20" s="304" t="s">
        <v>253</v>
      </c>
      <c r="M20" s="331"/>
      <c r="N20" s="304" t="s">
        <v>129</v>
      </c>
      <c r="O20" s="305"/>
      <c r="Q20" s="71"/>
      <c r="R20" s="368" t="s">
        <v>16</v>
      </c>
      <c r="S20" s="391"/>
      <c r="T20" s="261"/>
      <c r="U20" s="389" t="s">
        <v>208</v>
      </c>
      <c r="V20" s="390"/>
      <c r="W20" s="390"/>
      <c r="X20" s="96">
        <v>1.5</v>
      </c>
      <c r="Y20" s="97">
        <f ca="1">AVERAGE(DE14:DE97)</f>
        <v>0</v>
      </c>
      <c r="Z20" s="8" t="str">
        <f t="shared" ca="1" si="84"/>
        <v>P</v>
      </c>
      <c r="AA20" s="8"/>
      <c r="AB20" s="349">
        <f ca="1">NOW()</f>
        <v>41841.564362384262</v>
      </c>
      <c r="AC20" s="349"/>
      <c r="AD20" s="9"/>
      <c r="AE20" s="138"/>
      <c r="AF20" s="139"/>
      <c r="AG20" s="112">
        <f t="shared" ca="1" si="0"/>
        <v>69.95</v>
      </c>
      <c r="AH20" s="112">
        <f t="shared" ca="1" si="1"/>
        <v>-16.27</v>
      </c>
      <c r="AI20" s="112">
        <f t="shared" ca="1" si="2"/>
        <v>-18.39</v>
      </c>
      <c r="AJ20" s="112">
        <f t="shared" ca="1" si="3"/>
        <v>24.55412388988864</v>
      </c>
      <c r="AK20" s="112">
        <f t="shared" ca="1" si="69"/>
        <v>228.50017059712522</v>
      </c>
      <c r="AM20" s="112">
        <f t="shared" si="4"/>
        <v>69.95</v>
      </c>
      <c r="AN20" s="112">
        <f t="shared" si="5"/>
        <v>-16.27</v>
      </c>
      <c r="AO20" s="112">
        <f t="shared" si="6"/>
        <v>-18.39</v>
      </c>
      <c r="AP20" s="112">
        <f t="shared" si="7"/>
        <v>24.55412388988864</v>
      </c>
      <c r="AQ20" s="112">
        <f t="shared" si="70"/>
        <v>228.50017059712522</v>
      </c>
      <c r="AS20" s="112">
        <f t="shared" ca="1" si="8"/>
        <v>0</v>
      </c>
      <c r="AT20" s="112">
        <f t="shared" ca="1" si="9"/>
        <v>0</v>
      </c>
      <c r="AU20" s="112">
        <f t="shared" ca="1" si="10"/>
        <v>0</v>
      </c>
      <c r="AV20" s="112">
        <f t="shared" ca="1" si="11"/>
        <v>0</v>
      </c>
      <c r="AW20" s="112">
        <f t="shared" ca="1" si="83"/>
        <v>0</v>
      </c>
      <c r="AX20" s="109">
        <f t="shared" ca="1" si="13"/>
        <v>0</v>
      </c>
      <c r="AY20" s="112">
        <f t="shared" si="14"/>
        <v>1.2826361782273703</v>
      </c>
      <c r="AZ20" s="112">
        <f t="shared" si="15"/>
        <v>1.8232929363500596</v>
      </c>
      <c r="BA20" s="112">
        <f t="shared" si="16"/>
        <v>1.3155020974980769</v>
      </c>
      <c r="BB20" s="112">
        <f t="shared" si="17"/>
        <v>0.72077101790795872</v>
      </c>
      <c r="BC20" s="112">
        <f t="shared" si="18"/>
        <v>0.99739668126686432</v>
      </c>
      <c r="BD20" s="112">
        <f t="shared" ca="1" si="19"/>
        <v>69.95</v>
      </c>
      <c r="BE20" s="112">
        <f t="shared" si="20"/>
        <v>24.55412388988864</v>
      </c>
      <c r="BF20" s="112">
        <f t="shared" ca="1" si="21"/>
        <v>24.55412388988864</v>
      </c>
      <c r="BG20" s="112">
        <f t="shared" ca="1" si="22"/>
        <v>24.55412388988864</v>
      </c>
      <c r="BH20" s="112">
        <f t="shared" ca="1" si="23"/>
        <v>0.15774696088621842</v>
      </c>
      <c r="BI20" s="112">
        <f t="shared" ca="1" si="24"/>
        <v>-18.836543053618776</v>
      </c>
      <c r="BJ20" s="112">
        <f t="shared" ca="1" si="25"/>
        <v>-18.836543053618776</v>
      </c>
      <c r="BK20" s="112">
        <f t="shared" ca="1" si="26"/>
        <v>26.325034742822918</v>
      </c>
      <c r="BL20" s="112">
        <f t="shared" ca="1" si="27"/>
        <v>26.325034742822918</v>
      </c>
      <c r="BM20" s="112">
        <f t="shared" ca="1" si="28"/>
        <v>26.325034742822918</v>
      </c>
      <c r="BN20" s="112">
        <f t="shared" ca="1" si="29"/>
        <v>224.31275366355362</v>
      </c>
      <c r="BO20" s="112">
        <f t="shared" ca="1" si="30"/>
        <v>224.31275366355362</v>
      </c>
      <c r="BP20" s="112">
        <f t="shared" ca="1" si="31"/>
        <v>224.31275366355362</v>
      </c>
      <c r="BQ20" s="112">
        <f t="shared" ca="1" si="32"/>
        <v>1.4939079386968568</v>
      </c>
      <c r="BR20" s="112">
        <f t="shared" ca="1" si="33"/>
        <v>0</v>
      </c>
      <c r="BS20" s="112">
        <f t="shared" ca="1" si="34"/>
        <v>0</v>
      </c>
      <c r="BT20" s="112">
        <f t="shared" ca="1" si="35"/>
        <v>0</v>
      </c>
      <c r="BU20" s="112">
        <f t="shared" ca="1" si="36"/>
        <v>0</v>
      </c>
      <c r="BV20" s="112">
        <f t="shared" ca="1" si="37"/>
        <v>1.29200320583351</v>
      </c>
      <c r="BW20" s="112">
        <f t="shared" ca="1" si="38"/>
        <v>2.184626563427031</v>
      </c>
      <c r="BX20" s="112">
        <f t="shared" ca="1" si="39"/>
        <v>1.589907675831606</v>
      </c>
      <c r="BY20" s="112">
        <f t="shared" ca="1" si="40"/>
        <v>0.49188136273845323</v>
      </c>
      <c r="BZ20" s="112">
        <f t="shared" ca="1" si="41"/>
        <v>1.5354561093333849</v>
      </c>
      <c r="CA20" s="112">
        <f t="shared" ca="1" si="42"/>
        <v>-2.6362330392063541E-2</v>
      </c>
      <c r="CB20" s="112">
        <v>1</v>
      </c>
      <c r="CC20" s="112">
        <v>1</v>
      </c>
      <c r="CD20" s="112">
        <v>1</v>
      </c>
      <c r="CE20" s="112">
        <v>1</v>
      </c>
      <c r="CF20" s="109">
        <f t="shared" ca="1" si="43"/>
        <v>2.1049355750449887</v>
      </c>
      <c r="CG20" s="112">
        <f t="shared" ca="1" si="44"/>
        <v>1.3683118583483296</v>
      </c>
      <c r="CI20" s="150" t="str">
        <f t="shared" ca="1" si="45"/>
        <v>C50M0Y0K0</v>
      </c>
      <c r="CJ20" s="125">
        <f t="shared" ca="1" si="46"/>
        <v>0</v>
      </c>
      <c r="CK20" s="125">
        <f t="shared" ca="1" si="47"/>
        <v>0</v>
      </c>
      <c r="CL20" s="125">
        <f t="shared" ca="1" si="48"/>
        <v>0</v>
      </c>
      <c r="CM20" s="124">
        <f t="shared" ca="1" si="49"/>
        <v>0</v>
      </c>
      <c r="CN20" s="112">
        <f t="shared" ca="1" si="50"/>
        <v>0</v>
      </c>
      <c r="CO20" s="112">
        <f t="shared" ca="1" si="51"/>
        <v>0</v>
      </c>
      <c r="CP20" s="112">
        <f t="shared" ca="1" si="52"/>
        <v>0</v>
      </c>
      <c r="CQ20" s="112" t="str">
        <f t="shared" ca="1" si="71"/>
        <v/>
      </c>
      <c r="CR20" s="112" t="str">
        <f t="shared" ca="1" si="72"/>
        <v/>
      </c>
      <c r="CS20" s="112" t="str">
        <f t="shared" ca="1" si="73"/>
        <v/>
      </c>
      <c r="CT20" s="112" t="str">
        <f t="shared" ca="1" si="74"/>
        <v/>
      </c>
      <c r="CU20" s="112" t="str">
        <f t="shared" ca="1" si="75"/>
        <v/>
      </c>
      <c r="CV20" s="112" t="str">
        <f t="shared" ca="1" si="76"/>
        <v/>
      </c>
      <c r="CW20" s="112" t="str">
        <f t="shared" ca="1" si="53"/>
        <v/>
      </c>
      <c r="CX20" s="112" t="str">
        <f t="shared" ca="1" si="77"/>
        <v/>
      </c>
      <c r="CY20" s="112" t="str">
        <f t="shared" ca="1" si="54"/>
        <v/>
      </c>
      <c r="CZ20" s="112" t="str">
        <f t="shared" ca="1" si="78"/>
        <v/>
      </c>
      <c r="DA20" s="112" t="str">
        <f t="shared" ca="1" si="55"/>
        <v/>
      </c>
      <c r="DB20" s="112" t="str">
        <f t="shared" ca="1" si="56"/>
        <v/>
      </c>
      <c r="DC20" s="112" t="str">
        <f t="shared" ca="1" si="57"/>
        <v/>
      </c>
      <c r="DD20" s="112" t="str">
        <f t="shared" ca="1" si="58"/>
        <v/>
      </c>
      <c r="DE20" s="112" t="str">
        <f t="shared" ca="1" si="59"/>
        <v/>
      </c>
      <c r="DF20" s="112" t="str">
        <f t="shared" ca="1" si="60"/>
        <v/>
      </c>
      <c r="DG20" s="125">
        <f t="shared" ca="1" si="61"/>
        <v>50</v>
      </c>
      <c r="DH20" s="125" t="str">
        <f t="shared" ca="1" si="62"/>
        <v>-</v>
      </c>
      <c r="DI20" s="125" t="str">
        <f t="shared" ca="1" si="63"/>
        <v>-</v>
      </c>
      <c r="DJ20" s="125" t="str">
        <f t="shared" ca="1" si="64"/>
        <v>-</v>
      </c>
      <c r="DK20" s="112">
        <f t="shared" ca="1" si="85"/>
        <v>0.34278199772538559</v>
      </c>
      <c r="DL20" s="112">
        <f t="shared" ca="1" si="86"/>
        <v>0.40678382472310787</v>
      </c>
      <c r="DM20" s="112">
        <f t="shared" ca="1" si="87"/>
        <v>0.47662541105787148</v>
      </c>
      <c r="DN20" s="112">
        <f t="shared" si="88"/>
        <v>0.34278199772538559</v>
      </c>
      <c r="DO20" s="112">
        <f t="shared" si="89"/>
        <v>0.40678382472310787</v>
      </c>
      <c r="DP20" s="112">
        <f t="shared" si="90"/>
        <v>0.47662541105787148</v>
      </c>
      <c r="DQ20" s="112">
        <f t="shared" ca="1" si="79"/>
        <v>69.95</v>
      </c>
      <c r="DR20" s="112">
        <f t="shared" ca="1" si="67"/>
        <v>-16.27</v>
      </c>
      <c r="DS20" s="112">
        <f t="shared" ca="1" si="68"/>
        <v>-18.39</v>
      </c>
      <c r="DT20" s="112">
        <f t="shared" si="80"/>
        <v>69.95</v>
      </c>
      <c r="DU20" s="112">
        <f t="shared" si="81"/>
        <v>-16.27</v>
      </c>
      <c r="DV20" s="112">
        <f t="shared" si="82"/>
        <v>-18.39</v>
      </c>
      <c r="DW20" s="260"/>
      <c r="DX20" s="168"/>
      <c r="DY20" s="168"/>
      <c r="DZ20" s="151"/>
      <c r="EA20" s="151"/>
    </row>
    <row r="21" spans="1:131" ht="14" customHeight="1" thickTop="1">
      <c r="B21" s="332" t="s">
        <v>10</v>
      </c>
      <c r="C21" s="333"/>
      <c r="D21" s="340">
        <f ca="1">VLOOKUP(MAX(CP14:CP97),$CP$13:$DJ$97,18,FALSE)</f>
        <v>100</v>
      </c>
      <c r="E21" s="341"/>
      <c r="F21" s="341"/>
      <c r="G21" s="342"/>
      <c r="H21" s="210">
        <f ca="1">VLOOKUP(MAX(CR14:CR97),$CR$13:$DJ$97,16,FALSE)</f>
        <v>100</v>
      </c>
      <c r="I21" s="210">
        <f ca="1">VLOOKUP(MAX(CS$14:CS$97),$CS$13:$DJ$97,15,FALSE)</f>
        <v>100</v>
      </c>
      <c r="J21" s="306">
        <f ca="1">VLOOKUP(MAX(CU$14:CU$97),$CU$13:$DJ$97,13,FALSE)</f>
        <v>100</v>
      </c>
      <c r="K21" s="329"/>
      <c r="L21" s="306">
        <f ca="1">VLOOKUP(MAX(CY$14:CY$97),$CY$13:$DJ$97,9,FALSE)</f>
        <v>3</v>
      </c>
      <c r="M21" s="329"/>
      <c r="N21" s="306" t="str">
        <f ca="1">VLOOKUP(MAX(DC$14:DC$97),$DC$13:$DJ$97,5,FALSE)</f>
        <v>-</v>
      </c>
      <c r="O21" s="307">
        <f t="shared" ref="O21" ca="1" si="91">VLOOKUP(MAX(DA$14:DA$97),$CY$13:$DJ$97,6,FALSE)</f>
        <v>0</v>
      </c>
      <c r="Q21" s="71"/>
      <c r="R21" s="392"/>
      <c r="S21" s="393"/>
      <c r="T21" s="262"/>
      <c r="U21" s="366" t="s">
        <v>209</v>
      </c>
      <c r="V21" s="367"/>
      <c r="W21" s="367"/>
      <c r="X21" s="75">
        <v>3</v>
      </c>
      <c r="Y21" s="76">
        <f ca="1">MAX(DE14:DE97)</f>
        <v>0</v>
      </c>
      <c r="Z21" s="8" t="str">
        <f t="shared" ca="1" si="84"/>
        <v>P</v>
      </c>
      <c r="AA21" s="8"/>
      <c r="AB21" s="10"/>
      <c r="AC21" s="10"/>
      <c r="AD21" s="11"/>
      <c r="AE21" s="138"/>
      <c r="AF21" s="139"/>
      <c r="AG21" s="112">
        <f t="shared" ca="1" si="0"/>
        <v>43.4</v>
      </c>
      <c r="AH21" s="112">
        <f t="shared" ca="1" si="1"/>
        <v>12.58</v>
      </c>
      <c r="AI21" s="112">
        <f t="shared" ca="1" si="2"/>
        <v>-28.04</v>
      </c>
      <c r="AJ21" s="112">
        <f t="shared" ca="1" si="3"/>
        <v>30.732686182629724</v>
      </c>
      <c r="AK21" s="112">
        <f t="shared" ca="1" si="69"/>
        <v>294.16314074542561</v>
      </c>
      <c r="AM21" s="112">
        <f t="shared" si="4"/>
        <v>43.4</v>
      </c>
      <c r="AN21" s="112">
        <f t="shared" si="5"/>
        <v>12.58</v>
      </c>
      <c r="AO21" s="112">
        <f t="shared" si="6"/>
        <v>-28.04</v>
      </c>
      <c r="AP21" s="112">
        <f t="shared" si="7"/>
        <v>30.732686182629724</v>
      </c>
      <c r="AQ21" s="112">
        <f t="shared" si="70"/>
        <v>294.16314074542561</v>
      </c>
      <c r="AS21" s="112">
        <f t="shared" ca="1" si="8"/>
        <v>0</v>
      </c>
      <c r="AT21" s="112">
        <f t="shared" ca="1" si="9"/>
        <v>0</v>
      </c>
      <c r="AU21" s="112">
        <f t="shared" ca="1" si="10"/>
        <v>0</v>
      </c>
      <c r="AV21" s="112">
        <f t="shared" ca="1" si="11"/>
        <v>0</v>
      </c>
      <c r="AW21" s="112">
        <f t="shared" ca="1" si="83"/>
        <v>0</v>
      </c>
      <c r="AX21" s="109">
        <f t="shared" ca="1" si="13"/>
        <v>0</v>
      </c>
      <c r="AY21" s="112">
        <f t="shared" si="14"/>
        <v>1.0069676842146986</v>
      </c>
      <c r="AZ21" s="112">
        <f t="shared" si="15"/>
        <v>2.0359380508542291</v>
      </c>
      <c r="BA21" s="112">
        <f t="shared" si="16"/>
        <v>1.2267793353589291</v>
      </c>
      <c r="BB21" s="112">
        <f t="shared" si="17"/>
        <v>0.60213919322393061</v>
      </c>
      <c r="BC21" s="112">
        <f t="shared" si="18"/>
        <v>0.99893676697980427</v>
      </c>
      <c r="BD21" s="112">
        <f t="shared" ca="1" si="19"/>
        <v>43.4</v>
      </c>
      <c r="BE21" s="112">
        <f t="shared" si="20"/>
        <v>30.732686182629724</v>
      </c>
      <c r="BF21" s="112">
        <f t="shared" ca="1" si="21"/>
        <v>30.732686182629724</v>
      </c>
      <c r="BG21" s="112">
        <f t="shared" ca="1" si="22"/>
        <v>30.732686182629724</v>
      </c>
      <c r="BH21" s="112">
        <f t="shared" ca="1" si="23"/>
        <v>5.0207845508740523E-2</v>
      </c>
      <c r="BI21" s="112">
        <f t="shared" ca="1" si="24"/>
        <v>13.211614696499955</v>
      </c>
      <c r="BJ21" s="112">
        <f t="shared" ca="1" si="25"/>
        <v>13.211614696499955</v>
      </c>
      <c r="BK21" s="112">
        <f t="shared" ca="1" si="26"/>
        <v>30.996586310249935</v>
      </c>
      <c r="BL21" s="112">
        <f t="shared" ca="1" si="27"/>
        <v>30.996586310249935</v>
      </c>
      <c r="BM21" s="112">
        <f t="shared" ca="1" si="28"/>
        <v>30.996586310249935</v>
      </c>
      <c r="BN21" s="112">
        <f t="shared" ca="1" si="29"/>
        <v>295.22842007909151</v>
      </c>
      <c r="BO21" s="112">
        <f t="shared" ca="1" si="30"/>
        <v>295.22842007909151</v>
      </c>
      <c r="BP21" s="112">
        <f t="shared" ca="1" si="31"/>
        <v>295.22842007909151</v>
      </c>
      <c r="BQ21" s="112">
        <f t="shared" ca="1" si="32"/>
        <v>0.38691913704997727</v>
      </c>
      <c r="BR21" s="112">
        <f t="shared" ca="1" si="33"/>
        <v>0</v>
      </c>
      <c r="BS21" s="112">
        <f t="shared" ca="1" si="34"/>
        <v>0</v>
      </c>
      <c r="BT21" s="112">
        <f t="shared" ca="1" si="35"/>
        <v>0</v>
      </c>
      <c r="BU21" s="112">
        <f t="shared" ca="1" si="36"/>
        <v>0</v>
      </c>
      <c r="BV21" s="112">
        <f t="shared" ca="1" si="37"/>
        <v>1.0819572138140452</v>
      </c>
      <c r="BW21" s="112">
        <f t="shared" ca="1" si="38"/>
        <v>2.394846383961247</v>
      </c>
      <c r="BX21" s="112">
        <f t="shared" ca="1" si="39"/>
        <v>1.1798975863998558</v>
      </c>
      <c r="BY21" s="112">
        <f t="shared" ca="1" si="40"/>
        <v>15.58790067282888</v>
      </c>
      <c r="BZ21" s="112">
        <f t="shared" ca="1" si="41"/>
        <v>1.8092211918431604</v>
      </c>
      <c r="CA21" s="112">
        <f t="shared" ca="1" si="42"/>
        <v>-0.93657176077898829</v>
      </c>
      <c r="CB21" s="112">
        <v>1</v>
      </c>
      <c r="CC21" s="112">
        <v>1</v>
      </c>
      <c r="CD21" s="112">
        <v>1</v>
      </c>
      <c r="CE21" s="112">
        <v>1</v>
      </c>
      <c r="CF21" s="109">
        <f t="shared" ca="1" si="43"/>
        <v>2.3829708782183374</v>
      </c>
      <c r="CG21" s="112">
        <f t="shared" ca="1" si="44"/>
        <v>1.4609902927394458</v>
      </c>
      <c r="CI21" s="150" t="str">
        <f t="shared" ca="1" si="45"/>
        <v>C75M75Y0K0</v>
      </c>
      <c r="CJ21" s="125">
        <f t="shared" ca="1" si="46"/>
        <v>0</v>
      </c>
      <c r="CK21" s="125">
        <f t="shared" ca="1" si="47"/>
        <v>0</v>
      </c>
      <c r="CL21" s="125">
        <f t="shared" ca="1" si="48"/>
        <v>0</v>
      </c>
      <c r="CM21" s="124">
        <f t="shared" ca="1" si="49"/>
        <v>0</v>
      </c>
      <c r="CN21" s="112">
        <f t="shared" ca="1" si="50"/>
        <v>0</v>
      </c>
      <c r="CO21" s="112">
        <f t="shared" ca="1" si="51"/>
        <v>0</v>
      </c>
      <c r="CP21" s="112">
        <f t="shared" ca="1" si="52"/>
        <v>0</v>
      </c>
      <c r="CQ21" s="112" t="str">
        <f t="shared" ca="1" si="71"/>
        <v/>
      </c>
      <c r="CR21" s="112" t="str">
        <f t="shared" ca="1" si="72"/>
        <v/>
      </c>
      <c r="CS21" s="112" t="str">
        <f t="shared" ca="1" si="73"/>
        <v/>
      </c>
      <c r="CT21" s="112" t="str">
        <f t="shared" ca="1" si="74"/>
        <v/>
      </c>
      <c r="CU21" s="112" t="str">
        <f t="shared" ca="1" si="75"/>
        <v/>
      </c>
      <c r="CV21" s="112" t="str">
        <f t="shared" ca="1" si="76"/>
        <v/>
      </c>
      <c r="CW21" s="112" t="str">
        <f t="shared" ca="1" si="53"/>
        <v/>
      </c>
      <c r="CX21" s="112" t="str">
        <f t="shared" ca="1" si="77"/>
        <v/>
      </c>
      <c r="CY21" s="112" t="str">
        <f t="shared" ca="1" si="54"/>
        <v/>
      </c>
      <c r="CZ21" s="112" t="str">
        <f t="shared" ca="1" si="78"/>
        <v/>
      </c>
      <c r="DA21" s="112" t="str">
        <f t="shared" ca="1" si="55"/>
        <v/>
      </c>
      <c r="DB21" s="112" t="str">
        <f t="shared" ca="1" si="56"/>
        <v/>
      </c>
      <c r="DC21" s="112" t="str">
        <f t="shared" ca="1" si="57"/>
        <v/>
      </c>
      <c r="DD21" s="112" t="str">
        <f t="shared" ca="1" si="58"/>
        <v/>
      </c>
      <c r="DE21" s="112" t="str">
        <f t="shared" ca="1" si="59"/>
        <v/>
      </c>
      <c r="DF21" s="112" t="str">
        <f t="shared" ca="1" si="60"/>
        <v/>
      </c>
      <c r="DG21" s="125">
        <f t="shared" ca="1" si="61"/>
        <v>75</v>
      </c>
      <c r="DH21" s="125">
        <f t="shared" ca="1" si="62"/>
        <v>75</v>
      </c>
      <c r="DI21" s="125" t="str">
        <f t="shared" ca="1" si="63"/>
        <v>-</v>
      </c>
      <c r="DJ21" s="125" t="str">
        <f t="shared" ca="1" si="64"/>
        <v>-</v>
      </c>
      <c r="DK21" s="112">
        <f t="shared" ca="1" si="85"/>
        <v>0.14950144418709943</v>
      </c>
      <c r="DL21" s="112">
        <f t="shared" ca="1" si="86"/>
        <v>0.13427197199557173</v>
      </c>
      <c r="DM21" s="112">
        <f t="shared" ca="1" si="87"/>
        <v>0.22891879459378828</v>
      </c>
      <c r="DN21" s="112">
        <f t="shared" si="88"/>
        <v>0.14950144418709943</v>
      </c>
      <c r="DO21" s="112">
        <f t="shared" si="89"/>
        <v>0.13427197199557173</v>
      </c>
      <c r="DP21" s="112">
        <f t="shared" si="90"/>
        <v>0.22891879459378828</v>
      </c>
      <c r="DQ21" s="112">
        <f t="shared" ca="1" si="79"/>
        <v>43.4</v>
      </c>
      <c r="DR21" s="112">
        <f t="shared" ca="1" si="67"/>
        <v>12.58</v>
      </c>
      <c r="DS21" s="112">
        <f t="shared" ca="1" si="68"/>
        <v>-28.04</v>
      </c>
      <c r="DT21" s="112">
        <f t="shared" si="80"/>
        <v>43.4</v>
      </c>
      <c r="DU21" s="112">
        <f t="shared" si="81"/>
        <v>12.58</v>
      </c>
      <c r="DV21" s="112">
        <f t="shared" si="82"/>
        <v>-28.04</v>
      </c>
      <c r="DW21" s="260"/>
      <c r="DX21" s="168"/>
      <c r="DY21" s="168"/>
      <c r="DZ21" s="151"/>
      <c r="EA21" s="151"/>
    </row>
    <row r="22" spans="1:131" ht="14" customHeight="1">
      <c r="B22" s="334" t="s">
        <v>11</v>
      </c>
      <c r="C22" s="335"/>
      <c r="D22" s="315" t="str">
        <f ca="1">VLOOKUP(MAX(CP15:CP98),$CP$13:$DJ$97,19,FALSE)</f>
        <v>-</v>
      </c>
      <c r="E22" s="316"/>
      <c r="F22" s="316"/>
      <c r="G22" s="317"/>
      <c r="H22" s="211" t="str">
        <f ca="1">VLOOKUP(MAX(CR14:CR97),$CR$13:$DJ$97,17,FALSE)</f>
        <v>-</v>
      </c>
      <c r="I22" s="211" t="str">
        <f ca="1">VLOOKUP(MAX(CS$14:CS$97),$CS$13:$DJ$97,16,FALSE)</f>
        <v>-</v>
      </c>
      <c r="J22" s="310">
        <f ca="1">VLOOKUP(MAX(CU$14:CU$97),$CU$13:$DJ$97,14,FALSE)</f>
        <v>100</v>
      </c>
      <c r="K22" s="330"/>
      <c r="L22" s="310">
        <f ca="1">VLOOKUP(MAX(CY$14:CY$97),$CY$13:$DJ$97,10,FALSE)</f>
        <v>2.238</v>
      </c>
      <c r="M22" s="330"/>
      <c r="N22" s="310" t="str">
        <f ca="1">VLOOKUP(MAX(DC$14:DC$97),$DC$13:$DJ$97,6,FALSE)</f>
        <v>-</v>
      </c>
      <c r="O22" s="311">
        <f t="shared" ref="O22:O24" ca="1" si="92">VLOOKUP(MAX(DA$14:DA$97),$CY$13:$DJ$97,6,FALSE)</f>
        <v>0</v>
      </c>
      <c r="Q22" s="71"/>
      <c r="R22" s="368" t="s">
        <v>135</v>
      </c>
      <c r="S22" s="369"/>
      <c r="T22" s="261"/>
      <c r="U22" s="384" t="s">
        <v>128</v>
      </c>
      <c r="V22" s="385"/>
      <c r="W22" s="385"/>
      <c r="X22" s="96">
        <v>3</v>
      </c>
      <c r="Y22" s="97">
        <f ca="1">AVERAGE(CP14:CP97)</f>
        <v>0</v>
      </c>
      <c r="Z22" s="8" t="str">
        <f t="shared" ca="1" si="84"/>
        <v>P</v>
      </c>
      <c r="AA22" s="8"/>
      <c r="AB22" s="10"/>
      <c r="AC22" s="10"/>
      <c r="AD22" s="11"/>
      <c r="AE22" s="138"/>
      <c r="AF22" s="139"/>
      <c r="AG22" s="112">
        <f t="shared" ca="1" si="0"/>
        <v>33.07</v>
      </c>
      <c r="AH22" s="112">
        <f t="shared" ca="1" si="1"/>
        <v>16.54</v>
      </c>
      <c r="AI22" s="112">
        <f t="shared" ca="1" si="2"/>
        <v>-16.91</v>
      </c>
      <c r="AJ22" s="112">
        <f t="shared" ca="1" si="3"/>
        <v>23.654168765779957</v>
      </c>
      <c r="AK22" s="112">
        <f t="shared" ca="1" si="69"/>
        <v>314.36626087039912</v>
      </c>
      <c r="AM22" s="112">
        <f t="shared" si="4"/>
        <v>33.07</v>
      </c>
      <c r="AN22" s="112">
        <f t="shared" si="5"/>
        <v>16.54</v>
      </c>
      <c r="AO22" s="112">
        <f t="shared" si="6"/>
        <v>-16.91</v>
      </c>
      <c r="AP22" s="112">
        <f t="shared" si="7"/>
        <v>23.654168765779957</v>
      </c>
      <c r="AQ22" s="112">
        <f t="shared" si="70"/>
        <v>314.36626087039912</v>
      </c>
      <c r="AS22" s="112">
        <f t="shared" ca="1" si="8"/>
        <v>0</v>
      </c>
      <c r="AT22" s="112">
        <f t="shared" ca="1" si="9"/>
        <v>0</v>
      </c>
      <c r="AU22" s="112">
        <f t="shared" ca="1" si="10"/>
        <v>0</v>
      </c>
      <c r="AV22" s="112">
        <f t="shared" ca="1" si="11"/>
        <v>0</v>
      </c>
      <c r="AW22" s="112">
        <f t="shared" ca="1" si="83"/>
        <v>0</v>
      </c>
      <c r="AX22" s="109">
        <f t="shared" ca="1" si="13"/>
        <v>0</v>
      </c>
      <c r="AY22" s="112">
        <f t="shared" si="14"/>
        <v>0.85562648013131393</v>
      </c>
      <c r="AZ22" s="112">
        <f t="shared" si="15"/>
        <v>1.7901268642140016</v>
      </c>
      <c r="BA22" s="112">
        <f t="shared" si="16"/>
        <v>1.1959329696301944</v>
      </c>
      <c r="BB22" s="112">
        <f t="shared" si="17"/>
        <v>0.66706590241909336</v>
      </c>
      <c r="BC22" s="112">
        <f t="shared" si="18"/>
        <v>0.99697920333647017</v>
      </c>
      <c r="BD22" s="112">
        <f t="shared" ca="1" si="19"/>
        <v>33.07</v>
      </c>
      <c r="BE22" s="112">
        <f t="shared" si="20"/>
        <v>23.654168765779957</v>
      </c>
      <c r="BF22" s="112">
        <f t="shared" ca="1" si="21"/>
        <v>23.654168765779957</v>
      </c>
      <c r="BG22" s="112">
        <f t="shared" ca="1" si="22"/>
        <v>23.654168765779957</v>
      </c>
      <c r="BH22" s="112">
        <f t="shared" ca="1" si="23"/>
        <v>0.1820557652335632</v>
      </c>
      <c r="BI22" s="112">
        <f t="shared" ca="1" si="24"/>
        <v>19.551202356963135</v>
      </c>
      <c r="BJ22" s="112">
        <f t="shared" ca="1" si="25"/>
        <v>19.551202356963135</v>
      </c>
      <c r="BK22" s="112">
        <f t="shared" ca="1" si="26"/>
        <v>25.849518633872485</v>
      </c>
      <c r="BL22" s="112">
        <f t="shared" ca="1" si="27"/>
        <v>25.849518633872485</v>
      </c>
      <c r="BM22" s="112">
        <f t="shared" ca="1" si="28"/>
        <v>25.849518633872485</v>
      </c>
      <c r="BN22" s="112">
        <f t="shared" ca="1" si="29"/>
        <v>319.14319534685399</v>
      </c>
      <c r="BO22" s="112">
        <f t="shared" ca="1" si="30"/>
        <v>319.14319534685399</v>
      </c>
      <c r="BP22" s="112">
        <f t="shared" ca="1" si="31"/>
        <v>319.14319534685399</v>
      </c>
      <c r="BQ22" s="112">
        <f t="shared" ca="1" si="32"/>
        <v>0.97356089285024794</v>
      </c>
      <c r="BR22" s="112">
        <f t="shared" ca="1" si="33"/>
        <v>0</v>
      </c>
      <c r="BS22" s="112">
        <f t="shared" ca="1" si="34"/>
        <v>0</v>
      </c>
      <c r="BT22" s="112">
        <f t="shared" ca="1" si="35"/>
        <v>0</v>
      </c>
      <c r="BU22" s="112">
        <f t="shared" ca="1" si="36"/>
        <v>0</v>
      </c>
      <c r="BV22" s="112">
        <f t="shared" ca="1" si="37"/>
        <v>1.245528248347878</v>
      </c>
      <c r="BW22" s="112">
        <f t="shared" ca="1" si="38"/>
        <v>2.1632283385242621</v>
      </c>
      <c r="BX22" s="112">
        <f t="shared" ca="1" si="39"/>
        <v>1.3774912066141303</v>
      </c>
      <c r="BY22" s="112">
        <f t="shared" ca="1" si="40"/>
        <v>1.327639653494562</v>
      </c>
      <c r="BZ22" s="112">
        <f t="shared" ca="1" si="41"/>
        <v>1.4942731784165881</v>
      </c>
      <c r="CA22" s="112">
        <f t="shared" ca="1" si="42"/>
        <v>-6.9224864171014658E-2</v>
      </c>
      <c r="CB22" s="112">
        <v>1</v>
      </c>
      <c r="CC22" s="112">
        <v>1</v>
      </c>
      <c r="CD22" s="112">
        <v>1</v>
      </c>
      <c r="CE22" s="112">
        <v>1</v>
      </c>
      <c r="CF22" s="109">
        <f t="shared" ca="1" si="43"/>
        <v>2.0644375944600979</v>
      </c>
      <c r="CG22" s="112">
        <f t="shared" ca="1" si="44"/>
        <v>1.3548125314866994</v>
      </c>
      <c r="CI22" s="150" t="str">
        <f t="shared" ca="1" si="45"/>
        <v>C70M100Y0K40</v>
      </c>
      <c r="CJ22" s="125">
        <f t="shared" ca="1" si="46"/>
        <v>0</v>
      </c>
      <c r="CK22" s="125">
        <f t="shared" ca="1" si="47"/>
        <v>0</v>
      </c>
      <c r="CL22" s="125">
        <f ca="1">AW22</f>
        <v>0</v>
      </c>
      <c r="CM22" s="124">
        <f t="shared" ca="1" si="49"/>
        <v>0</v>
      </c>
      <c r="CN22" s="112">
        <f t="shared" ca="1" si="50"/>
        <v>0</v>
      </c>
      <c r="CO22" s="112">
        <f t="shared" ca="1" si="51"/>
        <v>0</v>
      </c>
      <c r="CP22" s="112">
        <f t="shared" ca="1" si="52"/>
        <v>0</v>
      </c>
      <c r="CQ22" s="112" t="str">
        <f t="shared" ca="1" si="71"/>
        <v/>
      </c>
      <c r="CR22" s="112" t="str">
        <f t="shared" ca="1" si="72"/>
        <v/>
      </c>
      <c r="CS22" s="112" t="str">
        <f t="shared" ca="1" si="73"/>
        <v/>
      </c>
      <c r="CT22" s="112" t="str">
        <f t="shared" ca="1" si="74"/>
        <v/>
      </c>
      <c r="CU22" s="112" t="str">
        <f t="shared" ca="1" si="75"/>
        <v/>
      </c>
      <c r="CV22" s="112" t="str">
        <f t="shared" ca="1" si="76"/>
        <v/>
      </c>
      <c r="CW22" s="112" t="str">
        <f t="shared" ca="1" si="53"/>
        <v/>
      </c>
      <c r="CX22" s="112" t="str">
        <f t="shared" ca="1" si="77"/>
        <v/>
      </c>
      <c r="CY22" s="112" t="str">
        <f t="shared" ca="1" si="54"/>
        <v/>
      </c>
      <c r="CZ22" s="112" t="str">
        <f t="shared" ca="1" si="78"/>
        <v/>
      </c>
      <c r="DA22" s="112" t="str">
        <f t="shared" ca="1" si="55"/>
        <v/>
      </c>
      <c r="DB22" s="112" t="str">
        <f t="shared" ca="1" si="56"/>
        <v/>
      </c>
      <c r="DC22" s="112" t="str">
        <f t="shared" ca="1" si="57"/>
        <v/>
      </c>
      <c r="DD22" s="112" t="str">
        <f t="shared" ca="1" si="58"/>
        <v/>
      </c>
      <c r="DE22" s="112" t="str">
        <f t="shared" ca="1" si="59"/>
        <v/>
      </c>
      <c r="DF22" s="112" t="str">
        <f t="shared" ca="1" si="60"/>
        <v/>
      </c>
      <c r="DG22" s="125">
        <f t="shared" ca="1" si="61"/>
        <v>70</v>
      </c>
      <c r="DH22" s="125">
        <f t="shared" ca="1" si="62"/>
        <v>100</v>
      </c>
      <c r="DI22" s="125" t="str">
        <f t="shared" ca="1" si="63"/>
        <v>-</v>
      </c>
      <c r="DJ22" s="125">
        <f t="shared" ca="1" si="64"/>
        <v>40</v>
      </c>
      <c r="DK22" s="112">
        <f t="shared" ca="1" si="85"/>
        <v>9.1482803184764566E-2</v>
      </c>
      <c r="DL22" s="112">
        <f t="shared" ca="1" si="86"/>
        <v>7.5696222325510487E-2</v>
      </c>
      <c r="DM22" s="112">
        <f t="shared" ca="1" si="87"/>
        <v>0.10786537505819599</v>
      </c>
      <c r="DN22" s="112">
        <f t="shared" si="88"/>
        <v>9.1482803184764566E-2</v>
      </c>
      <c r="DO22" s="112">
        <f t="shared" si="89"/>
        <v>7.5696222325510487E-2</v>
      </c>
      <c r="DP22" s="112">
        <f t="shared" si="90"/>
        <v>0.10786537505819599</v>
      </c>
      <c r="DQ22" s="112">
        <f t="shared" ca="1" si="79"/>
        <v>33.07</v>
      </c>
      <c r="DR22" s="112">
        <f t="shared" ca="1" si="67"/>
        <v>16.54</v>
      </c>
      <c r="DS22" s="112">
        <f t="shared" ca="1" si="68"/>
        <v>-16.91</v>
      </c>
      <c r="DT22" s="112">
        <f t="shared" si="80"/>
        <v>33.07</v>
      </c>
      <c r="DU22" s="112">
        <f t="shared" si="81"/>
        <v>16.54</v>
      </c>
      <c r="DV22" s="112">
        <f t="shared" si="82"/>
        <v>-16.91</v>
      </c>
      <c r="DW22" s="260"/>
      <c r="DX22" s="168"/>
      <c r="DY22" s="168"/>
      <c r="DZ22" s="151"/>
      <c r="EA22" s="151"/>
    </row>
    <row r="23" spans="1:131" ht="14" customHeight="1">
      <c r="B23" s="343" t="s">
        <v>12</v>
      </c>
      <c r="C23" s="344"/>
      <c r="D23" s="345" t="str">
        <f ca="1">VLOOKUP(MAX(CP16:CP99),$CP$13:$DJ$97,20,FALSE)</f>
        <v>-</v>
      </c>
      <c r="E23" s="346"/>
      <c r="F23" s="346"/>
      <c r="G23" s="347"/>
      <c r="H23" s="208" t="str">
        <f ca="1">VLOOKUP(MAX(CR13:CR96),$CR$13:$DJ$97,18,FALSE)</f>
        <v>-</v>
      </c>
      <c r="I23" s="208" t="str">
        <f ca="1">VLOOKUP(MAX(CS$14:CS$97),$CS$13:$DJ$97,17,FALSE)</f>
        <v>-</v>
      </c>
      <c r="J23" s="312" t="str">
        <f ca="1">VLOOKUP(MAX(CU$14:CU$97),$CU$13:$DJ$97,15,FALSE)</f>
        <v>-</v>
      </c>
      <c r="K23" s="330"/>
      <c r="L23" s="312">
        <f ca="1">VLOOKUP(MAX(CY$14:CY$97),$CY$13:$DJ$97,11,FALSE)</f>
        <v>2.238</v>
      </c>
      <c r="M23" s="330"/>
      <c r="N23" s="312" t="str">
        <f ca="1">VLOOKUP(MAX(DC$14:DC$97),$DC$13:$DJ$97,7,FALSE)</f>
        <v>-</v>
      </c>
      <c r="O23" s="313">
        <f t="shared" ca="1" si="92"/>
        <v>0</v>
      </c>
      <c r="Q23" s="71"/>
      <c r="R23" s="370"/>
      <c r="S23" s="371"/>
      <c r="T23" s="262"/>
      <c r="U23" s="366" t="s">
        <v>127</v>
      </c>
      <c r="V23" s="367"/>
      <c r="W23" s="367"/>
      <c r="X23" s="75">
        <v>6</v>
      </c>
      <c r="Y23" s="76">
        <f ca="1">MAX(CP14:CP97)</f>
        <v>0</v>
      </c>
      <c r="Z23" s="8" t="str">
        <f t="shared" ca="1" si="84"/>
        <v>P</v>
      </c>
      <c r="AA23" s="8"/>
      <c r="AB23" s="10"/>
      <c r="AC23" s="10"/>
      <c r="AD23" s="11"/>
      <c r="AE23" s="140"/>
      <c r="AF23" s="141"/>
      <c r="AG23" s="112">
        <f t="shared" ca="1" si="0"/>
        <v>78.03</v>
      </c>
      <c r="AH23" s="112">
        <f t="shared" ca="1" si="1"/>
        <v>-8.67</v>
      </c>
      <c r="AI23" s="112">
        <f t="shared" ca="1" si="2"/>
        <v>-8.34</v>
      </c>
      <c r="AJ23" s="112">
        <f t="shared" ca="1" si="3"/>
        <v>12.030149625004668</v>
      </c>
      <c r="AK23" s="112">
        <f t="shared" ca="1" si="69"/>
        <v>223.88858108958016</v>
      </c>
      <c r="AM23" s="112">
        <f t="shared" si="4"/>
        <v>78.03</v>
      </c>
      <c r="AN23" s="112">
        <f t="shared" si="5"/>
        <v>-8.67</v>
      </c>
      <c r="AO23" s="112">
        <f t="shared" si="6"/>
        <v>-8.34</v>
      </c>
      <c r="AP23" s="112">
        <f t="shared" si="7"/>
        <v>12.030149625004668</v>
      </c>
      <c r="AQ23" s="112">
        <f t="shared" si="70"/>
        <v>223.88858108958016</v>
      </c>
      <c r="AS23" s="112">
        <f t="shared" ca="1" si="8"/>
        <v>0</v>
      </c>
      <c r="AT23" s="112">
        <f t="shared" ca="1" si="9"/>
        <v>0</v>
      </c>
      <c r="AU23" s="112">
        <f t="shared" ca="1" si="10"/>
        <v>0</v>
      </c>
      <c r="AV23" s="112">
        <f t="shared" ca="1" si="11"/>
        <v>0</v>
      </c>
      <c r="AW23" s="112">
        <f t="shared" ca="1" si="83"/>
        <v>0</v>
      </c>
      <c r="AX23" s="109">
        <f t="shared" ca="1" si="13"/>
        <v>0</v>
      </c>
      <c r="AY23" s="112">
        <f t="shared" si="14"/>
        <v>1.3449602783408166</v>
      </c>
      <c r="AZ23" s="112">
        <f t="shared" si="15"/>
        <v>1.3010329023005092</v>
      </c>
      <c r="BA23" s="112">
        <f t="shared" si="16"/>
        <v>0.96444877435524801</v>
      </c>
      <c r="BB23" s="112">
        <f t="shared" si="17"/>
        <v>0.72981539745027479</v>
      </c>
      <c r="BC23" s="112">
        <f t="shared" si="18"/>
        <v>0.95751317220645671</v>
      </c>
      <c r="BD23" s="112">
        <f t="shared" ca="1" si="19"/>
        <v>78.03</v>
      </c>
      <c r="BE23" s="112">
        <f t="shared" si="20"/>
        <v>12.030149625004668</v>
      </c>
      <c r="BF23" s="112">
        <f t="shared" ca="1" si="21"/>
        <v>12.030149625004668</v>
      </c>
      <c r="BG23" s="112">
        <f t="shared" ca="1" si="22"/>
        <v>12.030149625004668</v>
      </c>
      <c r="BH23" s="112">
        <f t="shared" ca="1" si="23"/>
        <v>0.46146680299482812</v>
      </c>
      <c r="BI23" s="112">
        <f t="shared" ca="1" si="24"/>
        <v>-12.67091718196516</v>
      </c>
      <c r="BJ23" s="112">
        <f t="shared" ca="1" si="25"/>
        <v>-12.67091718196516</v>
      </c>
      <c r="BK23" s="112">
        <f t="shared" ca="1" si="26"/>
        <v>15.169302628407804</v>
      </c>
      <c r="BL23" s="112">
        <f t="shared" ca="1" si="27"/>
        <v>15.169302628407804</v>
      </c>
      <c r="BM23" s="112">
        <f t="shared" ca="1" si="28"/>
        <v>15.169302628407804</v>
      </c>
      <c r="BN23" s="112">
        <f t="shared" ca="1" si="29"/>
        <v>213.35291977960284</v>
      </c>
      <c r="BO23" s="112">
        <f t="shared" ca="1" si="30"/>
        <v>213.35291977960284</v>
      </c>
      <c r="BP23" s="112">
        <f t="shared" ca="1" si="31"/>
        <v>213.35291977960284</v>
      </c>
      <c r="BQ23" s="112">
        <f t="shared" ca="1" si="32"/>
        <v>1.2860849138831196</v>
      </c>
      <c r="BR23" s="112">
        <f t="shared" ca="1" si="33"/>
        <v>0</v>
      </c>
      <c r="BS23" s="112">
        <f t="shared" ca="1" si="34"/>
        <v>0</v>
      </c>
      <c r="BT23" s="112">
        <f t="shared" ca="1" si="35"/>
        <v>0</v>
      </c>
      <c r="BU23" s="112">
        <f t="shared" ca="1" si="36"/>
        <v>0</v>
      </c>
      <c r="BV23" s="112">
        <f t="shared" ca="1" si="37"/>
        <v>1.4151986383122659</v>
      </c>
      <c r="BW23" s="112">
        <f t="shared" ca="1" si="38"/>
        <v>1.6826186182783511</v>
      </c>
      <c r="BX23" s="112">
        <f t="shared" ca="1" si="39"/>
        <v>1.2926351689678424</v>
      </c>
      <c r="BY23" s="112">
        <f t="shared" ca="1" si="40"/>
        <v>6.8605496890733308E-2</v>
      </c>
      <c r="BZ23" s="112">
        <f t="shared" ca="1" si="41"/>
        <v>0.34287959583825134</v>
      </c>
      <c r="CA23" s="112">
        <f t="shared" ca="1" si="42"/>
        <v>-8.21121651949374E-4</v>
      </c>
      <c r="CB23" s="112">
        <v>1</v>
      </c>
      <c r="CC23" s="112">
        <v>1</v>
      </c>
      <c r="CD23" s="112">
        <v>1</v>
      </c>
      <c r="CE23" s="112">
        <v>1</v>
      </c>
      <c r="CF23" s="109">
        <f t="shared" ca="1" si="43"/>
        <v>1.54135673312521</v>
      </c>
      <c r="CG23" s="112">
        <f t="shared" ca="1" si="44"/>
        <v>1.18045224437507</v>
      </c>
      <c r="CI23" s="150" t="str">
        <f t="shared" ca="1" si="45"/>
        <v>C25M0Y0K0</v>
      </c>
      <c r="CJ23" s="125">
        <f t="shared" ca="1" si="46"/>
        <v>0</v>
      </c>
      <c r="CK23" s="125">
        <f t="shared" ca="1" si="47"/>
        <v>0</v>
      </c>
      <c r="CL23" s="125">
        <f t="shared" ca="1" si="48"/>
        <v>0</v>
      </c>
      <c r="CM23" s="124">
        <f t="shared" ca="1" si="49"/>
        <v>0</v>
      </c>
      <c r="CN23" s="112">
        <f t="shared" ca="1" si="50"/>
        <v>0</v>
      </c>
      <c r="CO23" s="112">
        <f t="shared" ca="1" si="51"/>
        <v>0</v>
      </c>
      <c r="CP23" s="112">
        <f t="shared" ca="1" si="52"/>
        <v>0</v>
      </c>
      <c r="CQ23" s="112" t="str">
        <f t="shared" ca="1" si="71"/>
        <v/>
      </c>
      <c r="CR23" s="112" t="str">
        <f t="shared" ca="1" si="72"/>
        <v/>
      </c>
      <c r="CS23" s="112" t="str">
        <f t="shared" ca="1" si="73"/>
        <v/>
      </c>
      <c r="CT23" s="112" t="str">
        <f t="shared" ca="1" si="74"/>
        <v/>
      </c>
      <c r="CU23" s="112" t="str">
        <f t="shared" ca="1" si="75"/>
        <v/>
      </c>
      <c r="CV23" s="112" t="str">
        <f t="shared" ca="1" si="76"/>
        <v/>
      </c>
      <c r="CW23" s="112" t="str">
        <f t="shared" ca="1" si="53"/>
        <v/>
      </c>
      <c r="CX23" s="112" t="str">
        <f t="shared" ca="1" si="77"/>
        <v/>
      </c>
      <c r="CY23" s="112" t="str">
        <f t="shared" ca="1" si="54"/>
        <v/>
      </c>
      <c r="CZ23" s="112" t="str">
        <f t="shared" ca="1" si="78"/>
        <v/>
      </c>
      <c r="DA23" s="112" t="str">
        <f t="shared" ca="1" si="55"/>
        <v/>
      </c>
      <c r="DB23" s="112" t="str">
        <f t="shared" ca="1" si="56"/>
        <v/>
      </c>
      <c r="DC23" s="112" t="str">
        <f t="shared" ca="1" si="57"/>
        <v/>
      </c>
      <c r="DD23" s="112" t="str">
        <f t="shared" ca="1" si="58"/>
        <v/>
      </c>
      <c r="DE23" s="112" t="str">
        <f t="shared" ca="1" si="59"/>
        <v/>
      </c>
      <c r="DF23" s="112" t="str">
        <f t="shared" ca="1" si="60"/>
        <v/>
      </c>
      <c r="DG23" s="125">
        <f t="shared" ca="1" si="61"/>
        <v>25</v>
      </c>
      <c r="DH23" s="125" t="str">
        <f t="shared" ca="1" si="62"/>
        <v>-</v>
      </c>
      <c r="DI23" s="125" t="str">
        <f t="shared" ca="1" si="63"/>
        <v>-</v>
      </c>
      <c r="DJ23" s="125" t="str">
        <f t="shared" ca="1" si="64"/>
        <v>-</v>
      </c>
      <c r="DK23" s="112">
        <f t="shared" ca="1" si="85"/>
        <v>0.48130398510444461</v>
      </c>
      <c r="DL23" s="112">
        <f t="shared" ca="1" si="86"/>
        <v>0.53262965234519155</v>
      </c>
      <c r="DM23" s="112">
        <f t="shared" ca="1" si="87"/>
        <v>0.5107213816024917</v>
      </c>
      <c r="DN23" s="112">
        <f t="shared" si="88"/>
        <v>0.48130398510444461</v>
      </c>
      <c r="DO23" s="112">
        <f t="shared" si="89"/>
        <v>0.53262965234519155</v>
      </c>
      <c r="DP23" s="112">
        <f t="shared" si="90"/>
        <v>0.5107213816024917</v>
      </c>
      <c r="DQ23" s="112">
        <f t="shared" ca="1" si="79"/>
        <v>78.03</v>
      </c>
      <c r="DR23" s="112">
        <f t="shared" ca="1" si="67"/>
        <v>-8.67</v>
      </c>
      <c r="DS23" s="112">
        <f t="shared" ca="1" si="68"/>
        <v>-8.34</v>
      </c>
      <c r="DT23" s="112">
        <f t="shared" si="80"/>
        <v>78.03</v>
      </c>
      <c r="DU23" s="112">
        <f t="shared" si="81"/>
        <v>-8.67</v>
      </c>
      <c r="DV23" s="112">
        <f t="shared" si="82"/>
        <v>-8.34</v>
      </c>
      <c r="DW23" s="260"/>
      <c r="DX23" s="168"/>
      <c r="DY23" s="168"/>
      <c r="DZ23" s="151"/>
      <c r="EA23" s="151"/>
    </row>
    <row r="24" spans="1:131" ht="14" customHeight="1" thickBot="1">
      <c r="B24" s="318" t="s">
        <v>13</v>
      </c>
      <c r="C24" s="319"/>
      <c r="D24" s="301" t="str">
        <f ca="1">VLOOKUP(MAX(CP17:CP100),$CP$13:$DJ$97,21,FALSE)</f>
        <v>-</v>
      </c>
      <c r="E24" s="302"/>
      <c r="F24" s="302"/>
      <c r="G24" s="303"/>
      <c r="H24" s="212" t="str">
        <f ca="1">VLOOKUP(MAX(CR14:CR97),$CR$13:$DJ$97,19,FALSE)</f>
        <v>-</v>
      </c>
      <c r="I24" s="212" t="str">
        <f ca="1">VLOOKUP(MAX(CS$14:CS$97),$CS$13:$DJ$97,18,FALSE)</f>
        <v>-</v>
      </c>
      <c r="J24" s="308" t="str">
        <f ca="1">VLOOKUP(MAX(CU$14:CU$97),$CU$13:$DJ$97,16,FALSE)</f>
        <v>-</v>
      </c>
      <c r="K24" s="328"/>
      <c r="L24" s="308" t="str">
        <f ca="1">VLOOKUP(MAX(CY$14:CY$97),$CY$13:$DJ$97,12,FALSE)</f>
        <v>-</v>
      </c>
      <c r="M24" s="328"/>
      <c r="N24" s="308">
        <f ca="1">VLOOKUP(MAX(DC$14:DC$97),$DC$13:$DJ$97,8,FALSE)</f>
        <v>3</v>
      </c>
      <c r="O24" s="309">
        <f t="shared" ca="1" si="92"/>
        <v>0</v>
      </c>
      <c r="Q24" s="12"/>
      <c r="R24" s="13"/>
      <c r="S24" s="13"/>
      <c r="T24" s="13"/>
      <c r="U24" s="13"/>
      <c r="V24" s="13"/>
      <c r="W24" s="13"/>
      <c r="X24" s="13"/>
      <c r="Y24" s="13"/>
      <c r="Z24" s="13"/>
      <c r="AA24" s="13"/>
      <c r="AB24" s="14"/>
      <c r="AC24" s="13"/>
      <c r="AD24" s="13"/>
      <c r="AE24" s="142"/>
      <c r="AF24" s="106"/>
      <c r="AG24" s="112">
        <f t="shared" ca="1" si="0"/>
        <v>54.59</v>
      </c>
      <c r="AH24" s="112">
        <f t="shared" ca="1" si="1"/>
        <v>10.73</v>
      </c>
      <c r="AI24" s="112">
        <f t="shared" ca="1" si="2"/>
        <v>-21.01</v>
      </c>
      <c r="AJ24" s="112">
        <f t="shared" ca="1" si="3"/>
        <v>23.591375542769864</v>
      </c>
      <c r="AK24" s="112">
        <f t="shared" ca="1" si="69"/>
        <v>297.05381848240859</v>
      </c>
      <c r="AM24" s="112">
        <f t="shared" si="4"/>
        <v>54.59</v>
      </c>
      <c r="AN24" s="112">
        <f t="shared" si="5"/>
        <v>10.73</v>
      </c>
      <c r="AO24" s="112">
        <f t="shared" si="6"/>
        <v>-21.01</v>
      </c>
      <c r="AP24" s="112">
        <f t="shared" si="7"/>
        <v>23.591375542769864</v>
      </c>
      <c r="AQ24" s="112">
        <f t="shared" si="70"/>
        <v>297.05381848240859</v>
      </c>
      <c r="AS24" s="112">
        <f t="shared" ca="1" si="8"/>
        <v>0</v>
      </c>
      <c r="AT24" s="112">
        <f t="shared" ca="1" si="9"/>
        <v>0</v>
      </c>
      <c r="AU24" s="112">
        <f t="shared" ca="1" si="10"/>
        <v>0</v>
      </c>
      <c r="AV24" s="112">
        <f t="shared" ca="1" si="11"/>
        <v>0</v>
      </c>
      <c r="AW24" s="112">
        <f t="shared" ca="1" si="83"/>
        <v>0</v>
      </c>
      <c r="AX24" s="109">
        <f t="shared" ca="1" si="13"/>
        <v>0</v>
      </c>
      <c r="AY24" s="112">
        <f t="shared" si="14"/>
        <v>1.1391952487212336</v>
      </c>
      <c r="AZ24" s="112">
        <f t="shared" si="15"/>
        <v>1.7877904483803855</v>
      </c>
      <c r="BA24" s="112">
        <f t="shared" si="16"/>
        <v>1.0961478762999139</v>
      </c>
      <c r="BB24" s="112">
        <f t="shared" si="17"/>
        <v>0.61194524686094864</v>
      </c>
      <c r="BC24" s="112">
        <f t="shared" si="18"/>
        <v>0.99694706057420812</v>
      </c>
      <c r="BD24" s="112">
        <f t="shared" ca="1" si="19"/>
        <v>54.59</v>
      </c>
      <c r="BE24" s="112">
        <f t="shared" si="20"/>
        <v>23.591375542769864</v>
      </c>
      <c r="BF24" s="112">
        <f t="shared" ca="1" si="21"/>
        <v>23.591375542769864</v>
      </c>
      <c r="BG24" s="112">
        <f t="shared" ca="1" si="22"/>
        <v>23.591375542769864</v>
      </c>
      <c r="BH24" s="112">
        <f t="shared" ca="1" si="23"/>
        <v>0.1838194085275105</v>
      </c>
      <c r="BI24" s="112">
        <f t="shared" ca="1" si="24"/>
        <v>12.702382253500188</v>
      </c>
      <c r="BJ24" s="112">
        <f t="shared" ca="1" si="25"/>
        <v>12.702382253500188</v>
      </c>
      <c r="BK24" s="112">
        <f t="shared" ca="1" si="26"/>
        <v>24.551387229931358</v>
      </c>
      <c r="BL24" s="112">
        <f t="shared" ca="1" si="27"/>
        <v>24.551387229931358</v>
      </c>
      <c r="BM24" s="112">
        <f t="shared" ca="1" si="28"/>
        <v>24.551387229931358</v>
      </c>
      <c r="BN24" s="112">
        <f t="shared" ca="1" si="29"/>
        <v>301.15663113215459</v>
      </c>
      <c r="BO24" s="112">
        <f t="shared" ca="1" si="30"/>
        <v>301.15663113215459</v>
      </c>
      <c r="BP24" s="112">
        <f t="shared" ca="1" si="31"/>
        <v>301.15663113215459</v>
      </c>
      <c r="BQ24" s="112">
        <f t="shared" ca="1" si="32"/>
        <v>0.47437304973770489</v>
      </c>
      <c r="BR24" s="112">
        <f t="shared" ca="1" si="33"/>
        <v>0</v>
      </c>
      <c r="BS24" s="112">
        <f t="shared" ca="1" si="34"/>
        <v>0</v>
      </c>
      <c r="BT24" s="112">
        <f t="shared" ca="1" si="35"/>
        <v>0</v>
      </c>
      <c r="BU24" s="112">
        <f t="shared" ca="1" si="36"/>
        <v>0</v>
      </c>
      <c r="BV24" s="112">
        <f t="shared" ca="1" si="37"/>
        <v>1.0493133293658634</v>
      </c>
      <c r="BW24" s="112">
        <f t="shared" ca="1" si="38"/>
        <v>2.1048124253469114</v>
      </c>
      <c r="BX24" s="112">
        <f t="shared" ca="1" si="39"/>
        <v>1.1746977465333082</v>
      </c>
      <c r="BY24" s="112">
        <f t="shared" ca="1" si="40"/>
        <v>10.039491024105994</v>
      </c>
      <c r="BZ24" s="112">
        <f t="shared" ca="1" si="41"/>
        <v>1.368728303203985</v>
      </c>
      <c r="CA24" s="112">
        <f t="shared" ca="1" si="42"/>
        <v>-0.46990520544929842</v>
      </c>
      <c r="CB24" s="112">
        <v>1</v>
      </c>
      <c r="CC24" s="112">
        <v>1</v>
      </c>
      <c r="CD24" s="112">
        <v>1</v>
      </c>
      <c r="CE24" s="112">
        <v>1</v>
      </c>
      <c r="CF24" s="109">
        <f t="shared" ca="1" si="43"/>
        <v>2.0616118994246437</v>
      </c>
      <c r="CG24" s="112">
        <f t="shared" ca="1" si="44"/>
        <v>1.353870633141548</v>
      </c>
      <c r="CI24" s="150" t="str">
        <f t="shared" ca="1" si="45"/>
        <v>C50M50Y0K0</v>
      </c>
      <c r="CJ24" s="125">
        <f t="shared" ca="1" si="46"/>
        <v>0</v>
      </c>
      <c r="CK24" s="125">
        <f t="shared" ca="1" si="47"/>
        <v>0</v>
      </c>
      <c r="CL24" s="125">
        <f t="shared" ca="1" si="48"/>
        <v>0</v>
      </c>
      <c r="CM24" s="124">
        <f t="shared" ca="1" si="49"/>
        <v>0</v>
      </c>
      <c r="CN24" s="112">
        <f t="shared" ca="1" si="50"/>
        <v>0</v>
      </c>
      <c r="CO24" s="112">
        <f t="shared" ca="1" si="51"/>
        <v>0</v>
      </c>
      <c r="CP24" s="112">
        <f t="shared" ca="1" si="52"/>
        <v>0</v>
      </c>
      <c r="CQ24" s="112" t="str">
        <f t="shared" ca="1" si="71"/>
        <v/>
      </c>
      <c r="CR24" s="112" t="str">
        <f t="shared" ca="1" si="72"/>
        <v/>
      </c>
      <c r="CS24" s="112" t="str">
        <f t="shared" ca="1" si="73"/>
        <v/>
      </c>
      <c r="CT24" s="112" t="str">
        <f t="shared" ca="1" si="74"/>
        <v/>
      </c>
      <c r="CU24" s="112" t="str">
        <f t="shared" ca="1" si="75"/>
        <v/>
      </c>
      <c r="CV24" s="112" t="str">
        <f t="shared" ca="1" si="76"/>
        <v/>
      </c>
      <c r="CW24" s="112" t="str">
        <f t="shared" ca="1" si="53"/>
        <v/>
      </c>
      <c r="CX24" s="112" t="str">
        <f t="shared" ca="1" si="77"/>
        <v/>
      </c>
      <c r="CY24" s="112" t="str">
        <f t="shared" ca="1" si="54"/>
        <v/>
      </c>
      <c r="CZ24" s="112" t="str">
        <f t="shared" ca="1" si="78"/>
        <v/>
      </c>
      <c r="DA24" s="112" t="str">
        <f t="shared" ca="1" si="55"/>
        <v/>
      </c>
      <c r="DB24" s="112" t="str">
        <f t="shared" ca="1" si="56"/>
        <v/>
      </c>
      <c r="DC24" s="112" t="str">
        <f t="shared" ca="1" si="57"/>
        <v/>
      </c>
      <c r="DD24" s="112" t="str">
        <f t="shared" ca="1" si="58"/>
        <v/>
      </c>
      <c r="DE24" s="112" t="str">
        <f t="shared" ca="1" si="59"/>
        <v/>
      </c>
      <c r="DF24" s="112" t="str">
        <f t="shared" ca="1" si="60"/>
        <v/>
      </c>
      <c r="DG24" s="125">
        <f t="shared" ca="1" si="61"/>
        <v>50</v>
      </c>
      <c r="DH24" s="125">
        <f t="shared" ca="1" si="62"/>
        <v>50</v>
      </c>
      <c r="DI24" s="125" t="str">
        <f t="shared" ca="1" si="63"/>
        <v>-</v>
      </c>
      <c r="DJ24" s="125" t="str">
        <f t="shared" ca="1" si="64"/>
        <v>-</v>
      </c>
      <c r="DK24" s="112">
        <f t="shared" ca="1" si="85"/>
        <v>0.2410889832599408</v>
      </c>
      <c r="DL24" s="112">
        <f t="shared" ca="1" si="86"/>
        <v>0.22534897032153334</v>
      </c>
      <c r="DM24" s="112">
        <f t="shared" ca="1" si="87"/>
        <v>0.29973502608140806</v>
      </c>
      <c r="DN24" s="112">
        <f t="shared" si="88"/>
        <v>0.2410889832599408</v>
      </c>
      <c r="DO24" s="112">
        <f t="shared" si="89"/>
        <v>0.22534897032153334</v>
      </c>
      <c r="DP24" s="112">
        <f t="shared" si="90"/>
        <v>0.29973502608140806</v>
      </c>
      <c r="DQ24" s="112">
        <f t="shared" ca="1" si="79"/>
        <v>54.59</v>
      </c>
      <c r="DR24" s="112">
        <f t="shared" ca="1" si="67"/>
        <v>10.73</v>
      </c>
      <c r="DS24" s="112">
        <f t="shared" ca="1" si="68"/>
        <v>-21.01</v>
      </c>
      <c r="DT24" s="112">
        <f t="shared" si="80"/>
        <v>54.59</v>
      </c>
      <c r="DU24" s="112">
        <f t="shared" si="81"/>
        <v>10.73</v>
      </c>
      <c r="DV24" s="112">
        <f t="shared" si="82"/>
        <v>-21.01</v>
      </c>
      <c r="DW24" s="260"/>
      <c r="DX24" s="168"/>
      <c r="DY24" s="168"/>
      <c r="DZ24" s="151"/>
      <c r="EA24" s="151"/>
    </row>
    <row r="25" spans="1:131" ht="14" customHeight="1" thickTop="1">
      <c r="R25" s="64"/>
      <c r="S25" s="64"/>
      <c r="T25" s="64"/>
      <c r="U25" s="64"/>
      <c r="V25" s="64"/>
      <c r="W25" s="64"/>
      <c r="X25" s="64"/>
      <c r="Y25" s="64"/>
      <c r="Z25" s="64"/>
      <c r="AA25" s="64"/>
      <c r="AE25" s="134"/>
      <c r="AF25" s="134"/>
      <c r="AG25" s="112">
        <f t="shared" ca="1" si="0"/>
        <v>39.78</v>
      </c>
      <c r="AH25" s="112">
        <f t="shared" ca="1" si="1"/>
        <v>34.08</v>
      </c>
      <c r="AI25" s="112">
        <f t="shared" ca="1" si="2"/>
        <v>12.81</v>
      </c>
      <c r="AJ25" s="112">
        <f t="shared" ca="1" si="3"/>
        <v>36.408000494396831</v>
      </c>
      <c r="AK25" s="112">
        <f t="shared" ca="1" si="69"/>
        <v>20.600250653584407</v>
      </c>
      <c r="AM25" s="112">
        <f t="shared" si="4"/>
        <v>39.78</v>
      </c>
      <c r="AN25" s="112">
        <f t="shared" si="5"/>
        <v>34.08</v>
      </c>
      <c r="AO25" s="112">
        <f t="shared" si="6"/>
        <v>12.81</v>
      </c>
      <c r="AP25" s="112">
        <f t="shared" si="7"/>
        <v>36.408000494396831</v>
      </c>
      <c r="AQ25" s="112">
        <f t="shared" si="70"/>
        <v>20.600250653584407</v>
      </c>
      <c r="AS25" s="112">
        <f t="shared" ca="1" si="8"/>
        <v>0</v>
      </c>
      <c r="AT25" s="112">
        <f t="shared" ca="1" si="9"/>
        <v>0</v>
      </c>
      <c r="AU25" s="112">
        <f t="shared" ca="1" si="10"/>
        <v>0</v>
      </c>
      <c r="AV25" s="112">
        <f t="shared" ca="1" si="11"/>
        <v>0</v>
      </c>
      <c r="AW25" s="112">
        <f t="shared" ca="1" si="83"/>
        <v>0</v>
      </c>
      <c r="AX25" s="109">
        <f t="shared" ca="1" si="13"/>
        <v>0</v>
      </c>
      <c r="AY25" s="112">
        <f t="shared" si="14"/>
        <v>0.95762247836077075</v>
      </c>
      <c r="AZ25" s="112">
        <f t="shared" si="15"/>
        <v>2.2107266322726473</v>
      </c>
      <c r="BA25" s="112">
        <f t="shared" si="16"/>
        <v>1.295947900323106</v>
      </c>
      <c r="BB25" s="112">
        <f t="shared" si="17"/>
        <v>0.58598535750819414</v>
      </c>
      <c r="BC25" s="112">
        <f t="shared" si="18"/>
        <v>0.99945976309595053</v>
      </c>
      <c r="BD25" s="112">
        <f t="shared" ca="1" si="19"/>
        <v>39.78</v>
      </c>
      <c r="BE25" s="112">
        <f t="shared" si="20"/>
        <v>36.408000494396831</v>
      </c>
      <c r="BF25" s="112">
        <f t="shared" ca="1" si="21"/>
        <v>36.408000494396831</v>
      </c>
      <c r="BG25" s="112">
        <f t="shared" ca="1" si="22"/>
        <v>36.408000494396831</v>
      </c>
      <c r="BH25" s="112">
        <f t="shared" ca="1" si="23"/>
        <v>1.7078006652608169E-2</v>
      </c>
      <c r="BI25" s="112">
        <f t="shared" ca="1" si="24"/>
        <v>34.662018466720887</v>
      </c>
      <c r="BJ25" s="112">
        <f t="shared" ca="1" si="25"/>
        <v>34.662018466720887</v>
      </c>
      <c r="BK25" s="112">
        <f t="shared" ca="1" si="26"/>
        <v>36.953370944844799</v>
      </c>
      <c r="BL25" s="112">
        <f t="shared" ca="1" si="27"/>
        <v>36.953370944844799</v>
      </c>
      <c r="BM25" s="112">
        <f t="shared" ca="1" si="28"/>
        <v>36.953370944844799</v>
      </c>
      <c r="BN25" s="112">
        <f t="shared" ca="1" si="29"/>
        <v>20.282738861271486</v>
      </c>
      <c r="BO25" s="112">
        <f t="shared" ca="1" si="30"/>
        <v>20.282738861271486</v>
      </c>
      <c r="BP25" s="112">
        <f t="shared" ca="1" si="31"/>
        <v>20.282738861271486</v>
      </c>
      <c r="BQ25" s="112">
        <f t="shared" ca="1" si="32"/>
        <v>0.95050253592660472</v>
      </c>
      <c r="BR25" s="112">
        <f t="shared" ca="1" si="33"/>
        <v>0</v>
      </c>
      <c r="BS25" s="112">
        <f t="shared" ca="1" si="34"/>
        <v>0</v>
      </c>
      <c r="BT25" s="112">
        <f t="shared" ca="1" si="35"/>
        <v>0</v>
      </c>
      <c r="BU25" s="112">
        <f t="shared" ca="1" si="36"/>
        <v>0</v>
      </c>
      <c r="BV25" s="112">
        <f t="shared" ca="1" si="37"/>
        <v>1.1404424483500708</v>
      </c>
      <c r="BW25" s="112">
        <f t="shared" ca="1" si="38"/>
        <v>2.662901692518016</v>
      </c>
      <c r="BX25" s="112">
        <f t="shared" ca="1" si="39"/>
        <v>1.5268640919116723</v>
      </c>
      <c r="BY25" s="112">
        <f t="shared" ca="1" si="40"/>
        <v>2.4732386303836859E-44</v>
      </c>
      <c r="BZ25" s="112">
        <f t="shared" ca="1" si="41"/>
        <v>1.9381303706052475</v>
      </c>
      <c r="CA25" s="112">
        <f t="shared" ca="1" si="42"/>
        <v>-1.6732328084326906E-45</v>
      </c>
      <c r="CB25" s="112">
        <v>1</v>
      </c>
      <c r="CC25" s="112">
        <v>1</v>
      </c>
      <c r="CD25" s="112">
        <v>1</v>
      </c>
      <c r="CE25" s="112">
        <v>1</v>
      </c>
      <c r="CF25" s="109">
        <f t="shared" ca="1" si="43"/>
        <v>2.6383600222478574</v>
      </c>
      <c r="CG25" s="112">
        <f t="shared" ca="1" si="44"/>
        <v>1.5461200074159525</v>
      </c>
      <c r="CI25" s="150" t="str">
        <f t="shared" ca="1" si="45"/>
        <v>C0M100Y70K40</v>
      </c>
      <c r="CJ25" s="125">
        <f t="shared" ca="1" si="46"/>
        <v>0</v>
      </c>
      <c r="CK25" s="125">
        <f t="shared" ca="1" si="47"/>
        <v>0</v>
      </c>
      <c r="CL25" s="125">
        <f t="shared" ca="1" si="48"/>
        <v>0</v>
      </c>
      <c r="CM25" s="124">
        <f t="shared" ca="1" si="49"/>
        <v>0</v>
      </c>
      <c r="CN25" s="112">
        <f t="shared" ca="1" si="50"/>
        <v>0</v>
      </c>
      <c r="CO25" s="112">
        <f t="shared" ca="1" si="51"/>
        <v>0</v>
      </c>
      <c r="CP25" s="112">
        <f t="shared" ca="1" si="52"/>
        <v>0</v>
      </c>
      <c r="CQ25" s="112" t="str">
        <f t="shared" ca="1" si="71"/>
        <v/>
      </c>
      <c r="CR25" s="112" t="str">
        <f t="shared" ca="1" si="72"/>
        <v/>
      </c>
      <c r="CS25" s="112" t="str">
        <f t="shared" ca="1" si="73"/>
        <v/>
      </c>
      <c r="CT25" s="112" t="str">
        <f t="shared" ca="1" si="74"/>
        <v/>
      </c>
      <c r="CU25" s="112" t="str">
        <f t="shared" ca="1" si="75"/>
        <v/>
      </c>
      <c r="CV25" s="112" t="str">
        <f t="shared" ca="1" si="76"/>
        <v/>
      </c>
      <c r="CW25" s="112" t="str">
        <f t="shared" ca="1" si="53"/>
        <v/>
      </c>
      <c r="CX25" s="112" t="str">
        <f t="shared" ca="1" si="77"/>
        <v/>
      </c>
      <c r="CY25" s="112" t="str">
        <f t="shared" ca="1" si="54"/>
        <v/>
      </c>
      <c r="CZ25" s="112" t="str">
        <f t="shared" ca="1" si="78"/>
        <v/>
      </c>
      <c r="DA25" s="112" t="str">
        <f t="shared" ca="1" si="55"/>
        <v/>
      </c>
      <c r="DB25" s="112" t="str">
        <f t="shared" ca="1" si="56"/>
        <v/>
      </c>
      <c r="DC25" s="112" t="str">
        <f t="shared" ca="1" si="57"/>
        <v/>
      </c>
      <c r="DD25" s="112" t="str">
        <f t="shared" ca="1" si="58"/>
        <v/>
      </c>
      <c r="DE25" s="112" t="str">
        <f t="shared" ca="1" si="59"/>
        <v/>
      </c>
      <c r="DF25" s="112" t="str">
        <f t="shared" ca="1" si="60"/>
        <v/>
      </c>
      <c r="DG25" s="125" t="str">
        <f t="shared" ca="1" si="61"/>
        <v>-</v>
      </c>
      <c r="DH25" s="125">
        <f t="shared" ca="1" si="62"/>
        <v>100</v>
      </c>
      <c r="DI25" s="125">
        <f t="shared" ca="1" si="63"/>
        <v>70</v>
      </c>
      <c r="DJ25" s="125">
        <f t="shared" ca="1" si="64"/>
        <v>40</v>
      </c>
      <c r="DK25" s="112">
        <f t="shared" ca="1" si="85"/>
        <v>0.1595645946813456</v>
      </c>
      <c r="DL25" s="112">
        <f t="shared" ca="1" si="86"/>
        <v>0.11118893286420108</v>
      </c>
      <c r="DM25" s="112">
        <f t="shared" ca="1" si="87"/>
        <v>5.9734077427802824E-2</v>
      </c>
      <c r="DN25" s="112">
        <f t="shared" si="88"/>
        <v>0.1595645946813456</v>
      </c>
      <c r="DO25" s="112">
        <f t="shared" si="89"/>
        <v>0.11118893286420108</v>
      </c>
      <c r="DP25" s="112">
        <f t="shared" si="90"/>
        <v>5.9734077427802824E-2</v>
      </c>
      <c r="DQ25" s="112">
        <f t="shared" ca="1" si="79"/>
        <v>39.78</v>
      </c>
      <c r="DR25" s="112">
        <f t="shared" ca="1" si="67"/>
        <v>34.08</v>
      </c>
      <c r="DS25" s="112">
        <f t="shared" ca="1" si="68"/>
        <v>12.81</v>
      </c>
      <c r="DT25" s="112">
        <f t="shared" si="80"/>
        <v>39.78</v>
      </c>
      <c r="DU25" s="112">
        <f t="shared" si="81"/>
        <v>34.08</v>
      </c>
      <c r="DV25" s="112">
        <f t="shared" si="82"/>
        <v>12.81</v>
      </c>
      <c r="DW25" s="260"/>
      <c r="DX25" s="168"/>
      <c r="DY25" s="168"/>
      <c r="DZ25" s="151"/>
      <c r="EA25" s="151"/>
    </row>
    <row r="26" spans="1:131" ht="14" customHeight="1">
      <c r="R26" s="65"/>
      <c r="S26" s="65"/>
      <c r="T26" s="65"/>
      <c r="U26" s="65"/>
      <c r="V26" s="64"/>
      <c r="W26" s="64"/>
      <c r="X26" s="64"/>
      <c r="Y26" s="64"/>
      <c r="Z26" s="64"/>
      <c r="AA26" s="64"/>
      <c r="AB26" s="64"/>
      <c r="AC26" s="64"/>
      <c r="AD26" s="64"/>
      <c r="AE26" s="134"/>
      <c r="AF26" s="134"/>
      <c r="AG26" s="112">
        <f t="shared" ca="1" si="0"/>
        <v>83.22</v>
      </c>
      <c r="AH26" s="112">
        <f t="shared" ca="1" si="1"/>
        <v>-3.68</v>
      </c>
      <c r="AI26" s="112">
        <f t="shared" ca="1" si="2"/>
        <v>-1.78</v>
      </c>
      <c r="AJ26" s="112">
        <f t="shared" ca="1" si="3"/>
        <v>4.0878845384868683</v>
      </c>
      <c r="AK26" s="112">
        <f t="shared" ca="1" si="69"/>
        <v>205.81285221298347</v>
      </c>
      <c r="AM26" s="112">
        <f t="shared" si="4"/>
        <v>83.22</v>
      </c>
      <c r="AN26" s="112">
        <f t="shared" si="5"/>
        <v>-3.68</v>
      </c>
      <c r="AO26" s="112">
        <f t="shared" si="6"/>
        <v>-1.78</v>
      </c>
      <c r="AP26" s="112">
        <f t="shared" si="7"/>
        <v>4.0878845384868683</v>
      </c>
      <c r="AQ26" s="112">
        <f t="shared" si="70"/>
        <v>205.81285221298347</v>
      </c>
      <c r="AS26" s="112">
        <f t="shared" ca="1" si="8"/>
        <v>0</v>
      </c>
      <c r="AT26" s="112">
        <f t="shared" ca="1" si="9"/>
        <v>0</v>
      </c>
      <c r="AU26" s="112">
        <f t="shared" ca="1" si="10"/>
        <v>0</v>
      </c>
      <c r="AV26" s="112">
        <f t="shared" ca="1" si="11"/>
        <v>0</v>
      </c>
      <c r="AW26" s="112">
        <f t="shared" ca="1" si="83"/>
        <v>0</v>
      </c>
      <c r="AX26" s="109">
        <f t="shared" ca="1" si="13"/>
        <v>0</v>
      </c>
      <c r="AY26" s="112">
        <f t="shared" si="14"/>
        <v>1.3811948803341496</v>
      </c>
      <c r="AZ26" s="112">
        <f t="shared" si="15"/>
        <v>0.88555039138690761</v>
      </c>
      <c r="BA26" s="112">
        <f t="shared" si="16"/>
        <v>0.80763733285953654</v>
      </c>
      <c r="BB26" s="112">
        <f t="shared" si="17"/>
        <v>0.75421614984386964</v>
      </c>
      <c r="BC26" s="112">
        <f t="shared" si="18"/>
        <v>0.35796752645683427</v>
      </c>
      <c r="BD26" s="112">
        <f t="shared" ca="1" si="19"/>
        <v>83.22</v>
      </c>
      <c r="BE26" s="112">
        <f t="shared" si="20"/>
        <v>4.0878845384868683</v>
      </c>
      <c r="BF26" s="112">
        <f t="shared" ca="1" si="21"/>
        <v>4.0878845384868683</v>
      </c>
      <c r="BG26" s="112">
        <f t="shared" ca="1" si="22"/>
        <v>4.0878845384868683</v>
      </c>
      <c r="BH26" s="112">
        <f t="shared" ca="1" si="23"/>
        <v>0.49911605657884156</v>
      </c>
      <c r="BI26" s="112">
        <f t="shared" ca="1" si="24"/>
        <v>-5.5167470882101366</v>
      </c>
      <c r="BJ26" s="112">
        <f t="shared" ca="1" si="25"/>
        <v>-5.5167470882101366</v>
      </c>
      <c r="BK26" s="112">
        <f t="shared" ca="1" si="26"/>
        <v>5.7968007068791856</v>
      </c>
      <c r="BL26" s="112">
        <f t="shared" ca="1" si="27"/>
        <v>5.7968007068791856</v>
      </c>
      <c r="BM26" s="112">
        <f t="shared" ca="1" si="28"/>
        <v>5.7968007068791856</v>
      </c>
      <c r="BN26" s="112">
        <f t="shared" ca="1" si="29"/>
        <v>197.88249846412933</v>
      </c>
      <c r="BO26" s="112">
        <f t="shared" ca="1" si="30"/>
        <v>197.88249846412933</v>
      </c>
      <c r="BP26" s="112">
        <f t="shared" ca="1" si="31"/>
        <v>197.88249846412933</v>
      </c>
      <c r="BQ26" s="112">
        <f t="shared" ca="1" si="32"/>
        <v>1.0014636794408835</v>
      </c>
      <c r="BR26" s="112">
        <f t="shared" ca="1" si="33"/>
        <v>0</v>
      </c>
      <c r="BS26" s="112">
        <f t="shared" ca="1" si="34"/>
        <v>0</v>
      </c>
      <c r="BT26" s="112">
        <f t="shared" ca="1" si="35"/>
        <v>0</v>
      </c>
      <c r="BU26" s="112">
        <f t="shared" ca="1" si="36"/>
        <v>0</v>
      </c>
      <c r="BV26" s="112">
        <f t="shared" ca="1" si="37"/>
        <v>1.4938451092522624</v>
      </c>
      <c r="BW26" s="112">
        <f t="shared" ca="1" si="38"/>
        <v>1.2608560318095634</v>
      </c>
      <c r="BX26" s="112">
        <f t="shared" ca="1" si="39"/>
        <v>1.0870792804734513</v>
      </c>
      <c r="BY26" s="112">
        <f t="shared" ca="1" si="40"/>
        <v>2.2112947232851535E-3</v>
      </c>
      <c r="BZ26" s="112">
        <f t="shared" ca="1" si="41"/>
        <v>1.2005809115402532E-2</v>
      </c>
      <c r="CA26" s="112">
        <f t="shared" ca="1" si="42"/>
        <v>-9.2671336509990716E-7</v>
      </c>
      <c r="CB26" s="112">
        <v>1</v>
      </c>
      <c r="CC26" s="112">
        <v>1</v>
      </c>
      <c r="CD26" s="112">
        <v>1</v>
      </c>
      <c r="CE26" s="112">
        <v>1</v>
      </c>
      <c r="CF26" s="109">
        <f t="shared" ca="1" si="43"/>
        <v>1.183954804231909</v>
      </c>
      <c r="CG26" s="112">
        <f t="shared" ca="1" si="44"/>
        <v>1.061318268077303</v>
      </c>
      <c r="CI26" s="150" t="str">
        <f t="shared" ca="1" si="45"/>
        <v>C10M0Y0K0</v>
      </c>
      <c r="CJ26" s="125">
        <f t="shared" ca="1" si="46"/>
        <v>0</v>
      </c>
      <c r="CK26" s="125">
        <f t="shared" ca="1" si="47"/>
        <v>0</v>
      </c>
      <c r="CL26" s="125">
        <f t="shared" ca="1" si="48"/>
        <v>0</v>
      </c>
      <c r="CM26" s="124">
        <f t="shared" ca="1" si="49"/>
        <v>0</v>
      </c>
      <c r="CN26" s="112">
        <f t="shared" ca="1" si="50"/>
        <v>0</v>
      </c>
      <c r="CO26" s="112">
        <f t="shared" ca="1" si="51"/>
        <v>0</v>
      </c>
      <c r="CP26" s="112">
        <f t="shared" ca="1" si="52"/>
        <v>0</v>
      </c>
      <c r="CQ26" s="112" t="str">
        <f t="shared" ca="1" si="71"/>
        <v/>
      </c>
      <c r="CR26" s="112" t="str">
        <f t="shared" ca="1" si="72"/>
        <v/>
      </c>
      <c r="CS26" s="112" t="str">
        <f t="shared" ca="1" si="73"/>
        <v/>
      </c>
      <c r="CT26" s="112" t="str">
        <f t="shared" ca="1" si="74"/>
        <v/>
      </c>
      <c r="CU26" s="112" t="str">
        <f t="shared" ca="1" si="75"/>
        <v/>
      </c>
      <c r="CV26" s="112" t="str">
        <f t="shared" ca="1" si="76"/>
        <v/>
      </c>
      <c r="CW26" s="112" t="str">
        <f t="shared" ca="1" si="53"/>
        <v/>
      </c>
      <c r="CX26" s="112" t="str">
        <f t="shared" ca="1" si="77"/>
        <v/>
      </c>
      <c r="CY26" s="112" t="str">
        <f t="shared" ca="1" si="54"/>
        <v/>
      </c>
      <c r="CZ26" s="112" t="str">
        <f t="shared" ca="1" si="78"/>
        <v/>
      </c>
      <c r="DA26" s="112" t="str">
        <f t="shared" ca="1" si="55"/>
        <v/>
      </c>
      <c r="DB26" s="112" t="str">
        <f t="shared" ca="1" si="56"/>
        <v/>
      </c>
      <c r="DC26" s="112" t="str">
        <f t="shared" ca="1" si="57"/>
        <v/>
      </c>
      <c r="DD26" s="112" t="str">
        <f t="shared" ca="1" si="58"/>
        <v/>
      </c>
      <c r="DE26" s="112" t="str">
        <f t="shared" ca="1" si="59"/>
        <v/>
      </c>
      <c r="DF26" s="112" t="str">
        <f t="shared" ca="1" si="60"/>
        <v/>
      </c>
      <c r="DG26" s="125">
        <f t="shared" ca="1" si="61"/>
        <v>10</v>
      </c>
      <c r="DH26" s="125" t="str">
        <f t="shared" ca="1" si="62"/>
        <v>-</v>
      </c>
      <c r="DI26" s="125" t="str">
        <f t="shared" ca="1" si="63"/>
        <v>-</v>
      </c>
      <c r="DJ26" s="125" t="str">
        <f t="shared" ca="1" si="64"/>
        <v>-</v>
      </c>
      <c r="DK26" s="112">
        <f t="shared" ca="1" si="85"/>
        <v>0.58793778585308654</v>
      </c>
      <c r="DL26" s="112">
        <f t="shared" ca="1" si="86"/>
        <v>0.62578291279367748</v>
      </c>
      <c r="DM26" s="112">
        <f t="shared" ca="1" si="87"/>
        <v>0.53249026285432832</v>
      </c>
      <c r="DN26" s="112">
        <f t="shared" si="88"/>
        <v>0.58793778585308654</v>
      </c>
      <c r="DO26" s="112">
        <f t="shared" si="89"/>
        <v>0.62578291279367748</v>
      </c>
      <c r="DP26" s="112">
        <f t="shared" si="90"/>
        <v>0.53249026285432832</v>
      </c>
      <c r="DQ26" s="112">
        <f t="shared" ca="1" si="79"/>
        <v>83.22</v>
      </c>
      <c r="DR26" s="112">
        <f t="shared" ca="1" si="67"/>
        <v>-3.68</v>
      </c>
      <c r="DS26" s="112">
        <f t="shared" ca="1" si="68"/>
        <v>-1.78</v>
      </c>
      <c r="DT26" s="112">
        <f t="shared" si="80"/>
        <v>83.22</v>
      </c>
      <c r="DU26" s="112">
        <f t="shared" si="81"/>
        <v>-3.68</v>
      </c>
      <c r="DV26" s="112">
        <f t="shared" si="82"/>
        <v>-1.78</v>
      </c>
      <c r="DW26" s="260"/>
      <c r="DX26" s="168"/>
      <c r="DY26" s="168"/>
      <c r="DZ26" s="151"/>
      <c r="EA26" s="151"/>
    </row>
    <row r="27" spans="1:131" ht="14" customHeight="1">
      <c r="B27" s="91" t="s">
        <v>4</v>
      </c>
      <c r="C27" s="15"/>
      <c r="D27" s="27"/>
      <c r="E27" s="27"/>
      <c r="F27" s="27"/>
      <c r="G27" s="27"/>
      <c r="H27" s="7"/>
      <c r="L27" s="18" t="s">
        <v>5</v>
      </c>
      <c r="M27" s="18" t="s">
        <v>6</v>
      </c>
      <c r="N27" s="18" t="s">
        <v>7</v>
      </c>
      <c r="P27" s="217"/>
      <c r="Q27" s="217"/>
      <c r="X27" s="64"/>
      <c r="AC27" s="64"/>
      <c r="AD27" s="64"/>
      <c r="AE27" s="134"/>
      <c r="AF27" s="134"/>
      <c r="AG27" s="112">
        <f t="shared" ca="1" si="0"/>
        <v>68.42</v>
      </c>
      <c r="AH27" s="112">
        <f t="shared" ca="1" si="1"/>
        <v>6.51</v>
      </c>
      <c r="AI27" s="112">
        <f t="shared" ca="1" si="2"/>
        <v>-11.04</v>
      </c>
      <c r="AJ27" s="112">
        <f t="shared" ca="1" si="3"/>
        <v>12.816462070321901</v>
      </c>
      <c r="AK27" s="112">
        <f t="shared" ca="1" si="69"/>
        <v>300.52674380618123</v>
      </c>
      <c r="AM27" s="112">
        <f t="shared" si="4"/>
        <v>68.42</v>
      </c>
      <c r="AN27" s="112">
        <f t="shared" si="5"/>
        <v>6.51</v>
      </c>
      <c r="AO27" s="112">
        <f t="shared" si="6"/>
        <v>-11.04</v>
      </c>
      <c r="AP27" s="112">
        <f t="shared" si="7"/>
        <v>12.816462070321901</v>
      </c>
      <c r="AQ27" s="112">
        <f t="shared" si="70"/>
        <v>300.52674380618123</v>
      </c>
      <c r="AS27" s="112">
        <f t="shared" ca="1" si="8"/>
        <v>0</v>
      </c>
      <c r="AT27" s="112">
        <f t="shared" ca="1" si="9"/>
        <v>0</v>
      </c>
      <c r="AU27" s="112">
        <f t="shared" ca="1" si="10"/>
        <v>0</v>
      </c>
      <c r="AV27" s="112">
        <f t="shared" ca="1" si="11"/>
        <v>0</v>
      </c>
      <c r="AW27" s="112">
        <f t="shared" ca="1" si="83"/>
        <v>0</v>
      </c>
      <c r="AX27" s="109">
        <f t="shared" ca="1" si="13"/>
        <v>0</v>
      </c>
      <c r="AY27" s="112">
        <f t="shared" si="14"/>
        <v>1.2699279719769723</v>
      </c>
      <c r="AZ27" s="112">
        <f t="shared" si="15"/>
        <v>1.3381398437448149</v>
      </c>
      <c r="BA27" s="112">
        <f t="shared" si="16"/>
        <v>0.8512476390821313</v>
      </c>
      <c r="BB27" s="112">
        <f t="shared" si="17"/>
        <v>0.6235494536917352</v>
      </c>
      <c r="BC27" s="112">
        <f t="shared" si="18"/>
        <v>0.96654791301320708</v>
      </c>
      <c r="BD27" s="112">
        <f t="shared" ca="1" si="19"/>
        <v>68.42</v>
      </c>
      <c r="BE27" s="112">
        <f t="shared" si="20"/>
        <v>12.816462070321901</v>
      </c>
      <c r="BF27" s="112">
        <f t="shared" ca="1" si="21"/>
        <v>12.816462070321901</v>
      </c>
      <c r="BG27" s="112">
        <f t="shared" ca="1" si="22"/>
        <v>12.816462070321901</v>
      </c>
      <c r="BH27" s="112">
        <f t="shared" ca="1" si="23"/>
        <v>0.45198721060754793</v>
      </c>
      <c r="BI27" s="112">
        <f t="shared" ca="1" si="24"/>
        <v>9.4524367410551378</v>
      </c>
      <c r="BJ27" s="112">
        <f t="shared" ca="1" si="25"/>
        <v>9.4524367410551378</v>
      </c>
      <c r="BK27" s="112">
        <f t="shared" ca="1" si="26"/>
        <v>14.533759332796489</v>
      </c>
      <c r="BL27" s="112">
        <f t="shared" ca="1" si="27"/>
        <v>14.533759332796489</v>
      </c>
      <c r="BM27" s="112">
        <f t="shared" ca="1" si="28"/>
        <v>14.533759332796489</v>
      </c>
      <c r="BN27" s="112">
        <f t="shared" ca="1" si="29"/>
        <v>310.57010447571378</v>
      </c>
      <c r="BO27" s="112">
        <f t="shared" ca="1" si="30"/>
        <v>310.57010447571378</v>
      </c>
      <c r="BP27" s="112">
        <f t="shared" ca="1" si="31"/>
        <v>310.57010447571378</v>
      </c>
      <c r="BQ27" s="112">
        <f t="shared" ca="1" si="32"/>
        <v>0.71094838272501437</v>
      </c>
      <c r="BR27" s="112">
        <f t="shared" ca="1" si="33"/>
        <v>0</v>
      </c>
      <c r="BS27" s="112">
        <f t="shared" ca="1" si="34"/>
        <v>0</v>
      </c>
      <c r="BT27" s="112">
        <f t="shared" ca="1" si="35"/>
        <v>0</v>
      </c>
      <c r="BU27" s="112">
        <f t="shared" ca="1" si="36"/>
        <v>0</v>
      </c>
      <c r="BV27" s="112">
        <f t="shared" ca="1" si="37"/>
        <v>1.2684998688415778</v>
      </c>
      <c r="BW27" s="112">
        <f t="shared" ca="1" si="38"/>
        <v>1.654019169975842</v>
      </c>
      <c r="BX27" s="112">
        <f t="shared" ca="1" si="39"/>
        <v>1.1549912903884938</v>
      </c>
      <c r="BY27" s="112">
        <f t="shared" ca="1" si="40"/>
        <v>3.9623039030955769</v>
      </c>
      <c r="BZ27" s="112">
        <f t="shared" ca="1" si="41"/>
        <v>0.29630805286874978</v>
      </c>
      <c r="CA27" s="112">
        <f t="shared" ca="1" si="42"/>
        <v>-4.0851974810702359E-2</v>
      </c>
      <c r="CB27" s="112">
        <v>1</v>
      </c>
      <c r="CC27" s="112">
        <v>1</v>
      </c>
      <c r="CD27" s="112">
        <v>1</v>
      </c>
      <c r="CE27" s="112">
        <v>1</v>
      </c>
      <c r="CF27" s="109">
        <f t="shared" ca="1" si="43"/>
        <v>1.5767407931644857</v>
      </c>
      <c r="CG27" s="112">
        <f t="shared" ca="1" si="44"/>
        <v>1.1922469310548285</v>
      </c>
      <c r="CI27" s="150" t="str">
        <f t="shared" ca="1" si="45"/>
        <v>C25M25Y0K0</v>
      </c>
      <c r="CJ27" s="125">
        <f t="shared" ca="1" si="46"/>
        <v>0</v>
      </c>
      <c r="CK27" s="125">
        <f t="shared" ca="1" si="47"/>
        <v>0</v>
      </c>
      <c r="CL27" s="125">
        <f t="shared" ca="1" si="48"/>
        <v>0</v>
      </c>
      <c r="CM27" s="124">
        <f t="shared" ca="1" si="49"/>
        <v>0</v>
      </c>
      <c r="CN27" s="112">
        <f t="shared" ca="1" si="50"/>
        <v>0</v>
      </c>
      <c r="CO27" s="112">
        <f t="shared" ca="1" si="51"/>
        <v>0</v>
      </c>
      <c r="CP27" s="112">
        <f t="shared" ca="1" si="52"/>
        <v>0</v>
      </c>
      <c r="CQ27" s="112" t="str">
        <f t="shared" ca="1" si="71"/>
        <v/>
      </c>
      <c r="CR27" s="112" t="str">
        <f t="shared" ca="1" si="72"/>
        <v/>
      </c>
      <c r="CS27" s="112" t="str">
        <f t="shared" ca="1" si="73"/>
        <v/>
      </c>
      <c r="CT27" s="112" t="str">
        <f t="shared" ca="1" si="74"/>
        <v/>
      </c>
      <c r="CU27" s="112" t="str">
        <f t="shared" ca="1" si="75"/>
        <v/>
      </c>
      <c r="CV27" s="112" t="str">
        <f t="shared" ca="1" si="76"/>
        <v/>
      </c>
      <c r="CW27" s="112" t="str">
        <f t="shared" ca="1" si="53"/>
        <v/>
      </c>
      <c r="CX27" s="112" t="str">
        <f t="shared" ca="1" si="77"/>
        <v/>
      </c>
      <c r="CY27" s="112" t="str">
        <f t="shared" ca="1" si="54"/>
        <v/>
      </c>
      <c r="CZ27" s="112" t="str">
        <f t="shared" ca="1" si="78"/>
        <v/>
      </c>
      <c r="DA27" s="112" t="str">
        <f t="shared" ca="1" si="55"/>
        <v/>
      </c>
      <c r="DB27" s="112" t="str">
        <f t="shared" ca="1" si="56"/>
        <v/>
      </c>
      <c r="DC27" s="112" t="str">
        <f t="shared" ca="1" si="57"/>
        <v/>
      </c>
      <c r="DD27" s="112" t="str">
        <f t="shared" ca="1" si="58"/>
        <v/>
      </c>
      <c r="DE27" s="112" t="str">
        <f t="shared" ca="1" si="59"/>
        <v/>
      </c>
      <c r="DF27" s="112" t="str">
        <f t="shared" ca="1" si="60"/>
        <v/>
      </c>
      <c r="DG27" s="125">
        <f t="shared" ca="1" si="61"/>
        <v>25</v>
      </c>
      <c r="DH27" s="125">
        <f t="shared" ca="1" si="62"/>
        <v>25</v>
      </c>
      <c r="DI27" s="125" t="str">
        <f t="shared" ca="1" si="63"/>
        <v>-</v>
      </c>
      <c r="DJ27" s="125" t="str">
        <f t="shared" ca="1" si="64"/>
        <v>-</v>
      </c>
      <c r="DK27" s="112">
        <f t="shared" ca="1" si="85"/>
        <v>0.39195160459029321</v>
      </c>
      <c r="DL27" s="112">
        <f t="shared" ca="1" si="86"/>
        <v>0.38544469771720852</v>
      </c>
      <c r="DM27" s="112">
        <f t="shared" ca="1" si="87"/>
        <v>0.39592938406480616</v>
      </c>
      <c r="DN27" s="112">
        <f t="shared" si="88"/>
        <v>0.39195160459029321</v>
      </c>
      <c r="DO27" s="112">
        <f t="shared" si="89"/>
        <v>0.38544469771720852</v>
      </c>
      <c r="DP27" s="112">
        <f t="shared" si="90"/>
        <v>0.39592938406480616</v>
      </c>
      <c r="DQ27" s="112">
        <f t="shared" ca="1" si="79"/>
        <v>68.42</v>
      </c>
      <c r="DR27" s="112">
        <f t="shared" ca="1" si="67"/>
        <v>6.51</v>
      </c>
      <c r="DS27" s="112">
        <f t="shared" ca="1" si="68"/>
        <v>-11.04</v>
      </c>
      <c r="DT27" s="112">
        <f t="shared" si="80"/>
        <v>68.42</v>
      </c>
      <c r="DU27" s="112">
        <f t="shared" si="81"/>
        <v>6.51</v>
      </c>
      <c r="DV27" s="112">
        <f t="shared" si="82"/>
        <v>-11.04</v>
      </c>
      <c r="DW27" s="260"/>
      <c r="DX27" s="168"/>
      <c r="DY27" s="168"/>
      <c r="DZ27" s="151"/>
      <c r="EA27" s="151"/>
    </row>
    <row r="28" spans="1:131" ht="14" customHeight="1">
      <c r="B28" s="325" t="s">
        <v>261</v>
      </c>
      <c r="C28" s="287"/>
      <c r="D28" s="287"/>
      <c r="E28" s="287"/>
      <c r="F28" s="287"/>
      <c r="G28" s="287"/>
      <c r="H28" s="287"/>
      <c r="I28" s="287"/>
      <c r="J28" s="288"/>
      <c r="K28" s="218"/>
      <c r="L28" s="199">
        <f ca="1">VLOOKUP("C0M0Y0K0",CI14:DV97,35,FALSE)</f>
        <v>87</v>
      </c>
      <c r="M28" s="200">
        <f ca="1">VLOOKUP("C0M0Y0K0",CI14:DV97,36,FALSE)</f>
        <v>0</v>
      </c>
      <c r="N28" s="201">
        <f ca="1">VLOOKUP("C0M0Y0K0",CI14:DV97,37,FALSE)</f>
        <v>3</v>
      </c>
      <c r="O28" s="219" t="s">
        <v>266</v>
      </c>
      <c r="P28" s="220"/>
      <c r="Q28" s="221"/>
      <c r="T28" s="198"/>
      <c r="V28" s="198"/>
      <c r="W28" s="9"/>
      <c r="X28" s="9"/>
      <c r="AC28" s="64"/>
      <c r="AD28" s="64"/>
      <c r="AE28" s="134"/>
      <c r="AF28" s="134"/>
      <c r="AG28" s="112">
        <f t="shared" ca="1" si="0"/>
        <v>39.68</v>
      </c>
      <c r="AH28" s="112">
        <f t="shared" ca="1" si="1"/>
        <v>33.54</v>
      </c>
      <c r="AI28" s="112">
        <f t="shared" ca="1" si="2"/>
        <v>17.52</v>
      </c>
      <c r="AJ28" s="112">
        <f t="shared" ca="1" si="3"/>
        <v>37.840216701282245</v>
      </c>
      <c r="AK28" s="112">
        <f t="shared" ca="1" si="69"/>
        <v>27.580827358123248</v>
      </c>
      <c r="AM28" s="112">
        <f t="shared" si="4"/>
        <v>39.68</v>
      </c>
      <c r="AN28" s="112">
        <f t="shared" si="5"/>
        <v>33.54</v>
      </c>
      <c r="AO28" s="112">
        <f t="shared" si="6"/>
        <v>17.52</v>
      </c>
      <c r="AP28" s="112">
        <f t="shared" si="7"/>
        <v>37.840216701282245</v>
      </c>
      <c r="AQ28" s="112">
        <f t="shared" si="70"/>
        <v>27.580827358123248</v>
      </c>
      <c r="AS28" s="112">
        <f t="shared" ca="1" si="8"/>
        <v>0</v>
      </c>
      <c r="AT28" s="112">
        <f t="shared" ca="1" si="9"/>
        <v>0</v>
      </c>
      <c r="AU28" s="112">
        <f t="shared" ca="1" si="10"/>
        <v>0</v>
      </c>
      <c r="AV28" s="112">
        <f t="shared" ca="1" si="11"/>
        <v>0</v>
      </c>
      <c r="AW28" s="112">
        <f t="shared" ca="1" si="83"/>
        <v>0</v>
      </c>
      <c r="AX28" s="109">
        <f t="shared" ca="1" si="13"/>
        <v>0</v>
      </c>
      <c r="AY28" s="112">
        <f t="shared" si="14"/>
        <v>0.95620671484492614</v>
      </c>
      <c r="AZ28" s="112">
        <f t="shared" si="15"/>
        <v>2.2520902501321882</v>
      </c>
      <c r="BA28" s="112">
        <f t="shared" si="16"/>
        <v>1.226059972893208</v>
      </c>
      <c r="BB28" s="112">
        <f t="shared" si="17"/>
        <v>0.54419873795270302</v>
      </c>
      <c r="BC28" s="112">
        <f t="shared" si="18"/>
        <v>0.9995369718141307</v>
      </c>
      <c r="BD28" s="112">
        <f t="shared" ca="1" si="19"/>
        <v>39.68</v>
      </c>
      <c r="BE28" s="112">
        <f t="shared" si="20"/>
        <v>37.840216701282245</v>
      </c>
      <c r="BF28" s="112">
        <f t="shared" ca="1" si="21"/>
        <v>37.840216701282245</v>
      </c>
      <c r="BG28" s="112">
        <f t="shared" ca="1" si="22"/>
        <v>37.840216701282245</v>
      </c>
      <c r="BH28" s="112">
        <f t="shared" ca="1" si="23"/>
        <v>1.3194243446597698E-2</v>
      </c>
      <c r="BI28" s="112">
        <f t="shared" ca="1" si="24"/>
        <v>33.982534925198884</v>
      </c>
      <c r="BJ28" s="112">
        <f t="shared" ca="1" si="25"/>
        <v>33.982534925198884</v>
      </c>
      <c r="BK28" s="112">
        <f t="shared" ca="1" si="26"/>
        <v>38.233010343711648</v>
      </c>
      <c r="BL28" s="112">
        <f t="shared" ca="1" si="27"/>
        <v>38.233010343711648</v>
      </c>
      <c r="BM28" s="112">
        <f t="shared" ca="1" si="28"/>
        <v>38.233010343711648</v>
      </c>
      <c r="BN28" s="112">
        <f t="shared" ca="1" si="29"/>
        <v>27.273773714570936</v>
      </c>
      <c r="BO28" s="112">
        <f t="shared" ca="1" si="30"/>
        <v>27.273773714570936</v>
      </c>
      <c r="BP28" s="112">
        <f t="shared" ca="1" si="31"/>
        <v>27.273773714570936</v>
      </c>
      <c r="BQ28" s="112">
        <f t="shared" ca="1" si="32"/>
        <v>0.84287132528606301</v>
      </c>
      <c r="BR28" s="112">
        <f t="shared" ca="1" si="33"/>
        <v>0</v>
      </c>
      <c r="BS28" s="112">
        <f t="shared" ca="1" si="34"/>
        <v>0</v>
      </c>
      <c r="BT28" s="112">
        <f t="shared" ca="1" si="35"/>
        <v>0</v>
      </c>
      <c r="BU28" s="112">
        <f t="shared" ca="1" si="36"/>
        <v>0</v>
      </c>
      <c r="BV28" s="112">
        <f t="shared" ca="1" si="37"/>
        <v>1.1420369281304941</v>
      </c>
      <c r="BW28" s="112">
        <f t="shared" ca="1" si="38"/>
        <v>2.7204854654670241</v>
      </c>
      <c r="BX28" s="112">
        <f t="shared" ca="1" si="39"/>
        <v>1.4833826214711998</v>
      </c>
      <c r="BY28" s="112">
        <f t="shared" ca="1" si="40"/>
        <v>6.8244938968974865E-42</v>
      </c>
      <c r="BZ28" s="112">
        <f t="shared" ca="1" si="41"/>
        <v>1.9507687819368094</v>
      </c>
      <c r="CA28" s="112">
        <f t="shared" ca="1" si="42"/>
        <v>-4.6471170336538116E-43</v>
      </c>
      <c r="CB28" s="112">
        <v>1</v>
      </c>
      <c r="CC28" s="112">
        <v>1</v>
      </c>
      <c r="CD28" s="112">
        <v>1</v>
      </c>
      <c r="CE28" s="112">
        <v>1</v>
      </c>
      <c r="CF28" s="109">
        <f t="shared" ca="1" si="43"/>
        <v>2.7028097515577008</v>
      </c>
      <c r="CG28" s="112">
        <f t="shared" ca="1" si="44"/>
        <v>1.5676032505192337</v>
      </c>
      <c r="CI28" s="150" t="str">
        <f t="shared" ca="1" si="45"/>
        <v>C0M100Y100K40</v>
      </c>
      <c r="CJ28" s="125">
        <f t="shared" ca="1" si="46"/>
        <v>0</v>
      </c>
      <c r="CK28" s="125">
        <f t="shared" ca="1" si="47"/>
        <v>0</v>
      </c>
      <c r="CL28" s="125">
        <f t="shared" ca="1" si="48"/>
        <v>0</v>
      </c>
      <c r="CM28" s="124">
        <f t="shared" ca="1" si="49"/>
        <v>0</v>
      </c>
      <c r="CN28" s="112">
        <f t="shared" ca="1" si="50"/>
        <v>0</v>
      </c>
      <c r="CO28" s="112">
        <f t="shared" ca="1" si="51"/>
        <v>0</v>
      </c>
      <c r="CP28" s="112">
        <f t="shared" ca="1" si="52"/>
        <v>0</v>
      </c>
      <c r="CQ28" s="112" t="str">
        <f t="shared" ca="1" si="71"/>
        <v/>
      </c>
      <c r="CR28" s="112" t="str">
        <f t="shared" ca="1" si="72"/>
        <v/>
      </c>
      <c r="CS28" s="112" t="str">
        <f t="shared" ca="1" si="73"/>
        <v/>
      </c>
      <c r="CT28" s="112" t="str">
        <f t="shared" ca="1" si="74"/>
        <v/>
      </c>
      <c r="CU28" s="112" t="str">
        <f t="shared" ca="1" si="75"/>
        <v/>
      </c>
      <c r="CV28" s="112" t="str">
        <f t="shared" ca="1" si="76"/>
        <v/>
      </c>
      <c r="CW28" s="112" t="str">
        <f t="shared" ca="1" si="53"/>
        <v/>
      </c>
      <c r="CX28" s="112" t="str">
        <f t="shared" ca="1" si="77"/>
        <v/>
      </c>
      <c r="CY28" s="112" t="str">
        <f t="shared" ca="1" si="54"/>
        <v/>
      </c>
      <c r="CZ28" s="112" t="str">
        <f t="shared" ca="1" si="78"/>
        <v/>
      </c>
      <c r="DA28" s="112" t="str">
        <f t="shared" ca="1" si="55"/>
        <v/>
      </c>
      <c r="DB28" s="112" t="str">
        <f t="shared" ca="1" si="56"/>
        <v/>
      </c>
      <c r="DC28" s="112" t="str">
        <f t="shared" ca="1" si="57"/>
        <v/>
      </c>
      <c r="DD28" s="112" t="str">
        <f t="shared" ca="1" si="58"/>
        <v/>
      </c>
      <c r="DE28" s="112" t="str">
        <f t="shared" ca="1" si="59"/>
        <v/>
      </c>
      <c r="DF28" s="112" t="str">
        <f t="shared" ca="1" si="60"/>
        <v/>
      </c>
      <c r="DG28" s="125" t="str">
        <f t="shared" ca="1" si="61"/>
        <v>-</v>
      </c>
      <c r="DH28" s="125">
        <f t="shared" ca="1" si="62"/>
        <v>100</v>
      </c>
      <c r="DI28" s="125">
        <f t="shared" ca="1" si="63"/>
        <v>100</v>
      </c>
      <c r="DJ28" s="125">
        <f t="shared" ca="1" si="64"/>
        <v>40</v>
      </c>
      <c r="DK28" s="112">
        <f t="shared" ca="1" si="85"/>
        <v>0.15787728231977974</v>
      </c>
      <c r="DL28" s="112">
        <f t="shared" ca="1" si="86"/>
        <v>0.110592</v>
      </c>
      <c r="DM28" s="112">
        <f t="shared" ca="1" si="87"/>
        <v>4.9841178157497584E-2</v>
      </c>
      <c r="DN28" s="112">
        <f t="shared" si="88"/>
        <v>0.15787728231977974</v>
      </c>
      <c r="DO28" s="112">
        <f t="shared" si="89"/>
        <v>0.110592</v>
      </c>
      <c r="DP28" s="112">
        <f t="shared" si="90"/>
        <v>4.9841178157497584E-2</v>
      </c>
      <c r="DQ28" s="112">
        <f t="shared" ca="1" si="79"/>
        <v>39.68</v>
      </c>
      <c r="DR28" s="112">
        <f t="shared" ca="1" si="67"/>
        <v>33.54</v>
      </c>
      <c r="DS28" s="112">
        <f t="shared" ca="1" si="68"/>
        <v>17.52</v>
      </c>
      <c r="DT28" s="112">
        <f t="shared" si="80"/>
        <v>39.68</v>
      </c>
      <c r="DU28" s="112">
        <f t="shared" si="81"/>
        <v>33.54</v>
      </c>
      <c r="DV28" s="112">
        <f t="shared" si="82"/>
        <v>17.52</v>
      </c>
      <c r="DW28" s="260"/>
      <c r="DX28" s="168"/>
      <c r="DY28" s="168"/>
      <c r="DZ28" s="151"/>
      <c r="EA28" s="151"/>
    </row>
    <row r="29" spans="1:131" ht="14" customHeight="1">
      <c r="B29" s="222"/>
      <c r="C29" s="222"/>
      <c r="D29" s="222"/>
      <c r="E29" s="222"/>
      <c r="F29" s="222"/>
      <c r="G29" s="222"/>
      <c r="H29" s="223"/>
      <c r="I29" s="223"/>
      <c r="P29" s="224"/>
      <c r="Q29" s="224"/>
      <c r="R29" s="224"/>
      <c r="S29" s="224"/>
      <c r="T29" s="198"/>
      <c r="V29" s="198"/>
      <c r="W29" s="382"/>
      <c r="X29" s="383"/>
      <c r="AE29" s="134"/>
      <c r="AF29" s="134"/>
      <c r="AG29" s="112">
        <f t="shared" ca="1" si="0"/>
        <v>52</v>
      </c>
      <c r="AH29" s="112">
        <f t="shared" ca="1" si="1"/>
        <v>58</v>
      </c>
      <c r="AI29" s="112">
        <f t="shared" ca="1" si="2"/>
        <v>-2</v>
      </c>
      <c r="AJ29" s="112">
        <f t="shared" ca="1" si="3"/>
        <v>58.034472514187634</v>
      </c>
      <c r="AK29" s="112">
        <f t="shared" ca="1" si="69"/>
        <v>358.02506598911805</v>
      </c>
      <c r="AM29" s="112">
        <f t="shared" si="4"/>
        <v>52</v>
      </c>
      <c r="AN29" s="112">
        <f t="shared" si="5"/>
        <v>58</v>
      </c>
      <c r="AO29" s="112">
        <f t="shared" si="6"/>
        <v>-2</v>
      </c>
      <c r="AP29" s="112">
        <f t="shared" si="7"/>
        <v>58.034472514187634</v>
      </c>
      <c r="AQ29" s="112">
        <f t="shared" si="70"/>
        <v>358.02506598911805</v>
      </c>
      <c r="AS29" s="112">
        <f t="shared" ca="1" si="8"/>
        <v>0</v>
      </c>
      <c r="AT29" s="112">
        <f t="shared" ca="1" si="9"/>
        <v>0</v>
      </c>
      <c r="AU29" s="112">
        <f t="shared" ca="1" si="10"/>
        <v>0</v>
      </c>
      <c r="AV29" s="112">
        <f t="shared" ca="1" si="11"/>
        <v>0</v>
      </c>
      <c r="AW29" s="112">
        <f t="shared" ca="1" si="83"/>
        <v>0</v>
      </c>
      <c r="AX29" s="109">
        <f t="shared" ca="1" si="13"/>
        <v>0</v>
      </c>
      <c r="AY29" s="112">
        <f t="shared" si="14"/>
        <v>1.1110126186255085</v>
      </c>
      <c r="AZ29" s="112">
        <f t="shared" si="15"/>
        <v>2.7414489430798299</v>
      </c>
      <c r="BA29" s="112">
        <f t="shared" si="16"/>
        <v>1.906399196978064</v>
      </c>
      <c r="BB29" s="112">
        <f t="shared" si="17"/>
        <v>0.69537288672396047</v>
      </c>
      <c r="BC29" s="112">
        <f t="shared" si="18"/>
        <v>0.99991626155608904</v>
      </c>
      <c r="BD29" s="112">
        <f t="shared" ca="1" si="19"/>
        <v>52</v>
      </c>
      <c r="BE29" s="112">
        <f t="shared" si="20"/>
        <v>58.034472514187634</v>
      </c>
      <c r="BF29" s="112">
        <f t="shared" ca="1" si="21"/>
        <v>58.034472514187634</v>
      </c>
      <c r="BG29" s="112">
        <f t="shared" ca="1" si="22"/>
        <v>58.034472514187634</v>
      </c>
      <c r="BH29" s="112">
        <f t="shared" ca="1" si="23"/>
        <v>6.8678730374660546E-4</v>
      </c>
      <c r="BI29" s="112">
        <f t="shared" ca="1" si="24"/>
        <v>58.039833663617301</v>
      </c>
      <c r="BJ29" s="112">
        <f t="shared" ca="1" si="25"/>
        <v>58.039833663617301</v>
      </c>
      <c r="BK29" s="112">
        <f t="shared" ca="1" si="26"/>
        <v>58.074282532807622</v>
      </c>
      <c r="BL29" s="112">
        <f t="shared" ca="1" si="27"/>
        <v>58.074282532807622</v>
      </c>
      <c r="BM29" s="112">
        <f t="shared" ca="1" si="28"/>
        <v>58.074282532807622</v>
      </c>
      <c r="BN29" s="112">
        <f t="shared" ca="1" si="29"/>
        <v>358.02642034558295</v>
      </c>
      <c r="BO29" s="112">
        <f t="shared" ca="1" si="30"/>
        <v>358.02642034558295</v>
      </c>
      <c r="BP29" s="112">
        <f t="shared" ca="1" si="31"/>
        <v>358.02642034558295</v>
      </c>
      <c r="BQ29" s="112">
        <f t="shared" ca="1" si="32"/>
        <v>1.3497583825885875</v>
      </c>
      <c r="BR29" s="112">
        <f t="shared" ca="1" si="33"/>
        <v>0</v>
      </c>
      <c r="BS29" s="112">
        <f t="shared" ca="1" si="34"/>
        <v>0</v>
      </c>
      <c r="BT29" s="112">
        <f t="shared" ca="1" si="35"/>
        <v>0</v>
      </c>
      <c r="BU29" s="112">
        <f t="shared" ca="1" si="36"/>
        <v>0</v>
      </c>
      <c r="BV29" s="112">
        <f t="shared" ca="1" si="37"/>
        <v>1.0122474487139159</v>
      </c>
      <c r="BW29" s="112">
        <f t="shared" ca="1" si="38"/>
        <v>3.6133427139763428</v>
      </c>
      <c r="BX29" s="112">
        <f t="shared" ca="1" si="39"/>
        <v>2.1757937449221263</v>
      </c>
      <c r="BY29" s="112">
        <f t="shared" ca="1" si="40"/>
        <v>4.8652562820971349E-4</v>
      </c>
      <c r="BZ29" s="112">
        <f t="shared" ca="1" si="41"/>
        <v>1.9972659789720659</v>
      </c>
      <c r="CA29" s="112">
        <f t="shared" ca="1" si="42"/>
        <v>-3.3919464691206079E-5</v>
      </c>
      <c r="CB29" s="112">
        <v>1</v>
      </c>
      <c r="CC29" s="112">
        <v>1</v>
      </c>
      <c r="CD29" s="112">
        <v>1</v>
      </c>
      <c r="CE29" s="112">
        <v>1</v>
      </c>
      <c r="CF29" s="109">
        <f t="shared" ca="1" si="43"/>
        <v>3.6115512631384434</v>
      </c>
      <c r="CG29" s="112">
        <f t="shared" ca="1" si="44"/>
        <v>1.8705170877128143</v>
      </c>
      <c r="CI29" s="150" t="str">
        <f t="shared" ca="1" si="45"/>
        <v>C0M100Y0K0</v>
      </c>
      <c r="CJ29" s="125">
        <f t="shared" ca="1" si="46"/>
        <v>0</v>
      </c>
      <c r="CK29" s="125">
        <f t="shared" ca="1" si="47"/>
        <v>0</v>
      </c>
      <c r="CL29" s="125">
        <f t="shared" ca="1" si="48"/>
        <v>0</v>
      </c>
      <c r="CM29" s="124">
        <f t="shared" ca="1" si="49"/>
        <v>0</v>
      </c>
      <c r="CN29" s="112">
        <f t="shared" ca="1" si="50"/>
        <v>0</v>
      </c>
      <c r="CO29" s="112">
        <f t="shared" ca="1" si="51"/>
        <v>0</v>
      </c>
      <c r="CP29" s="112">
        <f t="shared" ca="1" si="52"/>
        <v>0</v>
      </c>
      <c r="CQ29" s="112" t="str">
        <f t="shared" ca="1" si="71"/>
        <v>C0M100Y0K0</v>
      </c>
      <c r="CR29" s="112">
        <f t="shared" ca="1" si="72"/>
        <v>0</v>
      </c>
      <c r="CS29" s="112">
        <f t="shared" ca="1" si="73"/>
        <v>0</v>
      </c>
      <c r="CT29" s="112" t="str">
        <f t="shared" ca="1" si="74"/>
        <v/>
      </c>
      <c r="CU29" s="112" t="str">
        <f t="shared" ca="1" si="75"/>
        <v/>
      </c>
      <c r="CV29" s="112" t="str">
        <f t="shared" ca="1" si="76"/>
        <v/>
      </c>
      <c r="CW29" s="112" t="str">
        <f t="shared" ca="1" si="53"/>
        <v/>
      </c>
      <c r="CX29" s="112" t="str">
        <f t="shared" ca="1" si="77"/>
        <v/>
      </c>
      <c r="CY29" s="112" t="str">
        <f t="shared" ca="1" si="54"/>
        <v/>
      </c>
      <c r="CZ29" s="112" t="str">
        <f t="shared" ca="1" si="78"/>
        <v/>
      </c>
      <c r="DA29" s="112" t="str">
        <f t="shared" ca="1" si="55"/>
        <v/>
      </c>
      <c r="DB29" s="112" t="str">
        <f t="shared" ca="1" si="56"/>
        <v/>
      </c>
      <c r="DC29" s="112" t="str">
        <f t="shared" ca="1" si="57"/>
        <v/>
      </c>
      <c r="DD29" s="112" t="str">
        <f t="shared" ca="1" si="58"/>
        <v/>
      </c>
      <c r="DE29" s="112" t="str">
        <f t="shared" ca="1" si="59"/>
        <v/>
      </c>
      <c r="DF29" s="112" t="str">
        <f t="shared" ca="1" si="60"/>
        <v/>
      </c>
      <c r="DG29" s="125" t="str">
        <f t="shared" ca="1" si="61"/>
        <v>-</v>
      </c>
      <c r="DH29" s="125">
        <f t="shared" ca="1" si="62"/>
        <v>100</v>
      </c>
      <c r="DI29" s="125" t="str">
        <f t="shared" ca="1" si="63"/>
        <v>-</v>
      </c>
      <c r="DJ29" s="125" t="str">
        <f t="shared" ca="1" si="64"/>
        <v>-</v>
      </c>
      <c r="DK29" s="112">
        <f t="shared" ca="1" si="85"/>
        <v>0.33385846982468009</v>
      </c>
      <c r="DL29" s="112">
        <f t="shared" ca="1" si="86"/>
        <v>0.20144327360695388</v>
      </c>
      <c r="DM29" s="112">
        <f t="shared" ca="1" si="87"/>
        <v>0.1748204725112181</v>
      </c>
      <c r="DN29" s="112">
        <f t="shared" si="88"/>
        <v>0.33385846982468009</v>
      </c>
      <c r="DO29" s="112">
        <f t="shared" si="89"/>
        <v>0.20144327360695388</v>
      </c>
      <c r="DP29" s="112">
        <f t="shared" si="90"/>
        <v>0.1748204725112181</v>
      </c>
      <c r="DQ29" s="112">
        <f t="shared" ca="1" si="79"/>
        <v>52</v>
      </c>
      <c r="DR29" s="112">
        <f t="shared" ca="1" si="67"/>
        <v>58</v>
      </c>
      <c r="DS29" s="112">
        <f t="shared" ca="1" si="68"/>
        <v>-2</v>
      </c>
      <c r="DT29" s="112">
        <f t="shared" si="80"/>
        <v>52</v>
      </c>
      <c r="DU29" s="112">
        <f t="shared" si="81"/>
        <v>58</v>
      </c>
      <c r="DV29" s="112">
        <f t="shared" si="82"/>
        <v>-2</v>
      </c>
      <c r="DW29" s="260"/>
      <c r="DX29" s="168"/>
      <c r="DY29" s="168"/>
      <c r="DZ29" s="151"/>
      <c r="EA29" s="151"/>
    </row>
    <row r="30" spans="1:131" ht="14" customHeight="1">
      <c r="B30" s="93" t="s">
        <v>154</v>
      </c>
      <c r="C30" s="215"/>
      <c r="D30" s="222"/>
      <c r="E30" s="222"/>
      <c r="F30" s="222"/>
      <c r="H30" s="92" t="s">
        <v>245</v>
      </c>
      <c r="I30" s="94"/>
      <c r="J30" s="215"/>
      <c r="K30" s="215"/>
      <c r="L30" s="18" t="s">
        <v>5</v>
      </c>
      <c r="M30" s="18" t="s">
        <v>6</v>
      </c>
      <c r="N30" s="18" t="s">
        <v>7</v>
      </c>
      <c r="P30" s="217"/>
      <c r="Q30" s="217"/>
      <c r="R30" s="327"/>
      <c r="S30" s="327"/>
      <c r="T30" s="198"/>
      <c r="V30" s="198"/>
      <c r="W30" s="383"/>
      <c r="X30" s="383"/>
      <c r="AE30" s="134"/>
      <c r="AF30" s="134"/>
      <c r="AG30" s="112">
        <f t="shared" ca="1" si="0"/>
        <v>28.71</v>
      </c>
      <c r="AH30" s="112">
        <f t="shared" ca="1" si="1"/>
        <v>13.27</v>
      </c>
      <c r="AI30" s="112">
        <f t="shared" ca="1" si="2"/>
        <v>7.68</v>
      </c>
      <c r="AJ30" s="112">
        <f t="shared" ca="1" si="3"/>
        <v>15.332165535239957</v>
      </c>
      <c r="AK30" s="112">
        <f t="shared" ca="1" si="69"/>
        <v>30.060072115244743</v>
      </c>
      <c r="AM30" s="112">
        <f t="shared" si="4"/>
        <v>28.71</v>
      </c>
      <c r="AN30" s="112">
        <f t="shared" si="5"/>
        <v>13.27</v>
      </c>
      <c r="AO30" s="112">
        <f t="shared" si="6"/>
        <v>7.68</v>
      </c>
      <c r="AP30" s="112">
        <f t="shared" si="7"/>
        <v>15.332165535239957</v>
      </c>
      <c r="AQ30" s="112">
        <f t="shared" si="70"/>
        <v>30.060072115244743</v>
      </c>
      <c r="AS30" s="112">
        <f t="shared" ca="1" si="8"/>
        <v>0</v>
      </c>
      <c r="AT30" s="112">
        <f t="shared" ca="1" si="9"/>
        <v>0</v>
      </c>
      <c r="AU30" s="112">
        <f t="shared" ca="1" si="10"/>
        <v>0</v>
      </c>
      <c r="AV30" s="112">
        <f t="shared" ca="1" si="11"/>
        <v>0</v>
      </c>
      <c r="AW30" s="112">
        <f t="shared" ca="1" si="83"/>
        <v>0</v>
      </c>
      <c r="AX30" s="109">
        <f t="shared" ca="1" si="13"/>
        <v>0</v>
      </c>
      <c r="AY30" s="112">
        <f t="shared" si="14"/>
        <v>0.78075771960697704</v>
      </c>
      <c r="AZ30" s="112">
        <f t="shared" si="15"/>
        <v>1.4525822095874346</v>
      </c>
      <c r="BA30" s="112">
        <f t="shared" si="16"/>
        <v>0.77940742837089105</v>
      </c>
      <c r="BB30" s="112">
        <f t="shared" si="17"/>
        <v>0.52866712224517354</v>
      </c>
      <c r="BC30" s="112">
        <f t="shared" si="18"/>
        <v>0.9832396466176393</v>
      </c>
      <c r="BD30" s="112">
        <f t="shared" ca="1" si="19"/>
        <v>28.71</v>
      </c>
      <c r="BE30" s="112">
        <f t="shared" si="20"/>
        <v>15.332165535239957</v>
      </c>
      <c r="BF30" s="112">
        <f t="shared" ca="1" si="21"/>
        <v>15.332165535239957</v>
      </c>
      <c r="BG30" s="112">
        <f t="shared" ca="1" si="22"/>
        <v>15.332165535239957</v>
      </c>
      <c r="BH30" s="112">
        <f t="shared" ca="1" si="23"/>
        <v>0.41111685339188919</v>
      </c>
      <c r="BI30" s="112">
        <f t="shared" ca="1" si="24"/>
        <v>18.725520644510368</v>
      </c>
      <c r="BJ30" s="112">
        <f t="shared" ca="1" si="25"/>
        <v>18.725520644510368</v>
      </c>
      <c r="BK30" s="112">
        <f t="shared" ca="1" si="26"/>
        <v>20.239256987547343</v>
      </c>
      <c r="BL30" s="112">
        <f t="shared" ca="1" si="27"/>
        <v>20.239256987547343</v>
      </c>
      <c r="BM30" s="112">
        <f t="shared" ca="1" si="28"/>
        <v>20.239256987547343</v>
      </c>
      <c r="BN30" s="112">
        <f t="shared" ca="1" si="29"/>
        <v>22.300273150829277</v>
      </c>
      <c r="BO30" s="112">
        <f t="shared" ca="1" si="30"/>
        <v>22.300273150829277</v>
      </c>
      <c r="BP30" s="112">
        <f t="shared" ca="1" si="31"/>
        <v>22.300273150829277</v>
      </c>
      <c r="BQ30" s="112">
        <f t="shared" ca="1" si="32"/>
        <v>0.91705593138296793</v>
      </c>
      <c r="BR30" s="112">
        <f t="shared" ca="1" si="33"/>
        <v>0</v>
      </c>
      <c r="BS30" s="112">
        <f t="shared" ca="1" si="34"/>
        <v>0</v>
      </c>
      <c r="BT30" s="112">
        <f t="shared" ca="1" si="35"/>
        <v>0</v>
      </c>
      <c r="BU30" s="112">
        <f t="shared" ca="1" si="36"/>
        <v>0</v>
      </c>
      <c r="BV30" s="112">
        <f t="shared" ca="1" si="37"/>
        <v>1.3125293444791786</v>
      </c>
      <c r="BW30" s="112">
        <f t="shared" ca="1" si="38"/>
        <v>1.9107665644396303</v>
      </c>
      <c r="BX30" s="112">
        <f t="shared" ca="1" si="39"/>
        <v>1.278407960008217</v>
      </c>
      <c r="BY30" s="112">
        <f t="shared" ca="1" si="40"/>
        <v>1.2724106628590722E-43</v>
      </c>
      <c r="BZ30" s="112">
        <f t="shared" ca="1" si="41"/>
        <v>0.8616600469033957</v>
      </c>
      <c r="CA30" s="112">
        <f t="shared" ca="1" si="42"/>
        <v>-3.8271071299036669E-45</v>
      </c>
      <c r="CB30" s="112">
        <v>1</v>
      </c>
      <c r="CC30" s="112">
        <v>1</v>
      </c>
      <c r="CD30" s="112">
        <v>1</v>
      </c>
      <c r="CE30" s="112">
        <v>1</v>
      </c>
      <c r="CF30" s="109">
        <f t="shared" ca="1" si="43"/>
        <v>1.689947449085798</v>
      </c>
      <c r="CG30" s="112">
        <f t="shared" ca="1" si="44"/>
        <v>1.2299824830285995</v>
      </c>
      <c r="CI30" s="150" t="str">
        <f t="shared" ca="1" si="45"/>
        <v>C0M100Y100K80</v>
      </c>
      <c r="CJ30" s="125">
        <f t="shared" ca="1" si="46"/>
        <v>0</v>
      </c>
      <c r="CK30" s="125">
        <f t="shared" ca="1" si="47"/>
        <v>0</v>
      </c>
      <c r="CL30" s="125">
        <f t="shared" ca="1" si="48"/>
        <v>0</v>
      </c>
      <c r="CM30" s="124">
        <f t="shared" ca="1" si="49"/>
        <v>0</v>
      </c>
      <c r="CN30" s="112">
        <f t="shared" ca="1" si="50"/>
        <v>0</v>
      </c>
      <c r="CO30" s="112">
        <f t="shared" ca="1" si="51"/>
        <v>0</v>
      </c>
      <c r="CP30" s="112">
        <f t="shared" ca="1" si="52"/>
        <v>0</v>
      </c>
      <c r="CQ30" s="112" t="str">
        <f t="shared" ca="1" si="71"/>
        <v/>
      </c>
      <c r="CR30" s="112" t="str">
        <f t="shared" ca="1" si="72"/>
        <v/>
      </c>
      <c r="CS30" s="112" t="str">
        <f t="shared" ca="1" si="73"/>
        <v/>
      </c>
      <c r="CT30" s="112" t="str">
        <f t="shared" ca="1" si="74"/>
        <v/>
      </c>
      <c r="CU30" s="112" t="str">
        <f t="shared" ca="1" si="75"/>
        <v/>
      </c>
      <c r="CV30" s="112" t="str">
        <f t="shared" ca="1" si="76"/>
        <v/>
      </c>
      <c r="CW30" s="112" t="str">
        <f t="shared" ca="1" si="53"/>
        <v/>
      </c>
      <c r="CX30" s="112" t="str">
        <f t="shared" ca="1" si="77"/>
        <v/>
      </c>
      <c r="CY30" s="112" t="str">
        <f t="shared" ca="1" si="54"/>
        <v/>
      </c>
      <c r="CZ30" s="112" t="str">
        <f t="shared" ca="1" si="78"/>
        <v/>
      </c>
      <c r="DA30" s="112" t="str">
        <f t="shared" ca="1" si="55"/>
        <v/>
      </c>
      <c r="DB30" s="112" t="str">
        <f t="shared" ca="1" si="56"/>
        <v/>
      </c>
      <c r="DC30" s="112" t="str">
        <f t="shared" ca="1" si="57"/>
        <v/>
      </c>
      <c r="DD30" s="112" t="str">
        <f t="shared" ca="1" si="58"/>
        <v/>
      </c>
      <c r="DE30" s="112" t="str">
        <f t="shared" ca="1" si="59"/>
        <v/>
      </c>
      <c r="DF30" s="112" t="str">
        <f t="shared" ca="1" si="60"/>
        <v/>
      </c>
      <c r="DG30" s="125" t="str">
        <f t="shared" ca="1" si="61"/>
        <v>-</v>
      </c>
      <c r="DH30" s="125">
        <f t="shared" ca="1" si="62"/>
        <v>100</v>
      </c>
      <c r="DI30" s="125">
        <f t="shared" ca="1" si="63"/>
        <v>100</v>
      </c>
      <c r="DJ30" s="125">
        <f t="shared" ca="1" si="64"/>
        <v>80</v>
      </c>
      <c r="DK30" s="112">
        <f t="shared" ca="1" si="85"/>
        <v>6.7416650785205659E-2</v>
      </c>
      <c r="DL30" s="112">
        <f t="shared" ca="1" si="86"/>
        <v>5.725850992699065E-2</v>
      </c>
      <c r="DM30" s="112">
        <f t="shared" ca="1" si="87"/>
        <v>3.4475156645553381E-2</v>
      </c>
      <c r="DN30" s="112">
        <f t="shared" si="88"/>
        <v>6.7416650785205659E-2</v>
      </c>
      <c r="DO30" s="112">
        <f t="shared" si="89"/>
        <v>5.725850992699065E-2</v>
      </c>
      <c r="DP30" s="112">
        <f t="shared" si="90"/>
        <v>3.4475156645553381E-2</v>
      </c>
      <c r="DQ30" s="112">
        <f t="shared" ca="1" si="79"/>
        <v>28.71</v>
      </c>
      <c r="DR30" s="112">
        <f t="shared" ca="1" si="67"/>
        <v>13.27</v>
      </c>
      <c r="DS30" s="112">
        <f t="shared" ca="1" si="68"/>
        <v>7.68</v>
      </c>
      <c r="DT30" s="112">
        <f t="shared" si="80"/>
        <v>28.71</v>
      </c>
      <c r="DU30" s="112">
        <f t="shared" si="81"/>
        <v>13.27</v>
      </c>
      <c r="DV30" s="112">
        <f t="shared" si="82"/>
        <v>7.68</v>
      </c>
      <c r="DW30" s="260"/>
      <c r="DX30" s="168"/>
      <c r="DY30" s="168"/>
      <c r="DZ30" s="151"/>
      <c r="EA30" s="151"/>
    </row>
    <row r="31" spans="1:131" ht="14" customHeight="1">
      <c r="B31" s="286" t="s">
        <v>244</v>
      </c>
      <c r="C31" s="287"/>
      <c r="D31" s="287"/>
      <c r="E31" s="288"/>
      <c r="F31" s="222"/>
      <c r="H31" s="326" t="s">
        <v>246</v>
      </c>
      <c r="I31" s="287"/>
      <c r="J31" s="288"/>
      <c r="K31" s="218"/>
      <c r="L31" s="225">
        <f ca="1">VLOOKUP("C0M0Y0K0",CI14:DV97,38,FALSE)</f>
        <v>87</v>
      </c>
      <c r="M31" s="226">
        <f ca="1">VLOOKUP("C0M0Y0K0",CI14:DV97,39,FALSE)</f>
        <v>0</v>
      </c>
      <c r="N31" s="201">
        <f ca="1">VLOOKUP("C0M0Y0K0",CI14:DV97,40,FALSE)</f>
        <v>3</v>
      </c>
      <c r="O31" s="227" t="s">
        <v>267</v>
      </c>
      <c r="P31" s="9"/>
      <c r="Q31" s="220"/>
      <c r="R31" s="9"/>
      <c r="S31" s="220"/>
      <c r="T31" s="198"/>
      <c r="V31" s="198"/>
      <c r="W31" s="383"/>
      <c r="X31" s="383"/>
      <c r="AC31" s="64"/>
      <c r="AD31" s="64"/>
      <c r="AE31" s="134"/>
      <c r="AF31" s="134"/>
      <c r="AG31" s="112">
        <f t="shared" ca="1" si="0"/>
        <v>43.61</v>
      </c>
      <c r="AH31" s="112">
        <f t="shared" ca="1" si="1"/>
        <v>25.06</v>
      </c>
      <c r="AI31" s="112">
        <f t="shared" ca="1" si="2"/>
        <v>22.8</v>
      </c>
      <c r="AJ31" s="112">
        <f t="shared" ca="1" si="3"/>
        <v>33.87984061355661</v>
      </c>
      <c r="AK31" s="112">
        <f t="shared" ca="1" si="69"/>
        <v>42.29644077375508</v>
      </c>
      <c r="AM31" s="112">
        <f t="shared" si="4"/>
        <v>43.61</v>
      </c>
      <c r="AN31" s="112">
        <f t="shared" si="5"/>
        <v>25.06</v>
      </c>
      <c r="AO31" s="112">
        <f t="shared" si="6"/>
        <v>22.8</v>
      </c>
      <c r="AP31" s="112">
        <f t="shared" si="7"/>
        <v>33.87984061355661</v>
      </c>
      <c r="AQ31" s="112">
        <f t="shared" si="70"/>
        <v>42.29644077375508</v>
      </c>
      <c r="AS31" s="112">
        <f t="shared" ca="1" si="8"/>
        <v>0</v>
      </c>
      <c r="AT31" s="112">
        <f t="shared" ca="1" si="9"/>
        <v>0</v>
      </c>
      <c r="AU31" s="112">
        <f t="shared" ca="1" si="10"/>
        <v>0</v>
      </c>
      <c r="AV31" s="112">
        <f t="shared" ca="1" si="11"/>
        <v>0</v>
      </c>
      <c r="AW31" s="112">
        <f t="shared" ca="1" si="83"/>
        <v>0</v>
      </c>
      <c r="AX31" s="109">
        <f t="shared" ca="1" si="13"/>
        <v>0</v>
      </c>
      <c r="AY31" s="112">
        <f t="shared" si="14"/>
        <v>1.0097209072752613</v>
      </c>
      <c r="AZ31" s="112">
        <f t="shared" si="15"/>
        <v>2.1350875734557628</v>
      </c>
      <c r="BA31" s="112">
        <f t="shared" si="16"/>
        <v>0.95728857247989629</v>
      </c>
      <c r="BB31" s="112">
        <f t="shared" si="17"/>
        <v>0.4479627217383908</v>
      </c>
      <c r="BC31" s="112">
        <f t="shared" si="18"/>
        <v>0.999279740878392</v>
      </c>
      <c r="BD31" s="112">
        <f t="shared" ca="1" si="19"/>
        <v>43.61</v>
      </c>
      <c r="BE31" s="112">
        <f t="shared" si="20"/>
        <v>33.87984061355661</v>
      </c>
      <c r="BF31" s="112">
        <f t="shared" ca="1" si="21"/>
        <v>33.87984061355661</v>
      </c>
      <c r="BG31" s="112">
        <f t="shared" ca="1" si="22"/>
        <v>33.87984061355661</v>
      </c>
      <c r="BH31" s="112">
        <f t="shared" ca="1" si="23"/>
        <v>2.7359031505287734E-2</v>
      </c>
      <c r="BI31" s="112">
        <f t="shared" ca="1" si="24"/>
        <v>25.745617329522513</v>
      </c>
      <c r="BJ31" s="112">
        <f t="shared" ca="1" si="25"/>
        <v>25.745617329522513</v>
      </c>
      <c r="BK31" s="112">
        <f t="shared" ca="1" si="26"/>
        <v>34.390068503540526</v>
      </c>
      <c r="BL31" s="112">
        <f t="shared" ca="1" si="27"/>
        <v>34.390068503540526</v>
      </c>
      <c r="BM31" s="112">
        <f t="shared" ca="1" si="28"/>
        <v>34.390068503540526</v>
      </c>
      <c r="BN31" s="112">
        <f t="shared" ca="1" si="29"/>
        <v>41.527703576142855</v>
      </c>
      <c r="BO31" s="112">
        <f t="shared" ca="1" si="30"/>
        <v>41.527703576142855</v>
      </c>
      <c r="BP31" s="112">
        <f t="shared" ca="1" si="31"/>
        <v>41.527703576142855</v>
      </c>
      <c r="BQ31" s="112">
        <f t="shared" ca="1" si="32"/>
        <v>0.69963838417882851</v>
      </c>
      <c r="BR31" s="112">
        <f t="shared" ca="1" si="33"/>
        <v>0</v>
      </c>
      <c r="BS31" s="112">
        <f t="shared" ca="1" si="34"/>
        <v>0</v>
      </c>
      <c r="BT31" s="112">
        <f t="shared" ca="1" si="35"/>
        <v>0</v>
      </c>
      <c r="BU31" s="112">
        <f t="shared" ca="1" si="36"/>
        <v>0</v>
      </c>
      <c r="BV31" s="112">
        <f t="shared" ca="1" si="37"/>
        <v>1.0785283678028079</v>
      </c>
      <c r="BW31" s="112">
        <f t="shared" ca="1" si="38"/>
        <v>2.5475530826593236</v>
      </c>
      <c r="BX31" s="112">
        <f t="shared" ca="1" si="39"/>
        <v>1.3609091793942447</v>
      </c>
      <c r="BY31" s="112">
        <f t="shared" ca="1" si="40"/>
        <v>3.9826391659266825E-37</v>
      </c>
      <c r="BZ31" s="112">
        <f t="shared" ca="1" si="41"/>
        <v>1.9006397770843069</v>
      </c>
      <c r="CA31" s="112">
        <f t="shared" ca="1" si="42"/>
        <v>-2.642275742074777E-38</v>
      </c>
      <c r="CB31" s="112">
        <v>1</v>
      </c>
      <c r="CC31" s="112">
        <v>1</v>
      </c>
      <c r="CD31" s="112">
        <v>1</v>
      </c>
      <c r="CE31" s="112">
        <v>1</v>
      </c>
      <c r="CF31" s="109">
        <f t="shared" ca="1" si="43"/>
        <v>2.5245928276100473</v>
      </c>
      <c r="CG31" s="112">
        <f t="shared" ca="1" si="44"/>
        <v>1.5081976092033491</v>
      </c>
      <c r="CI31" s="150" t="str">
        <f t="shared" ca="1" si="45"/>
        <v>C0M70Y100K40</v>
      </c>
      <c r="CJ31" s="125">
        <f t="shared" ca="1" si="46"/>
        <v>0</v>
      </c>
      <c r="CK31" s="125">
        <f t="shared" ca="1" si="47"/>
        <v>0</v>
      </c>
      <c r="CL31" s="125">
        <f t="shared" ca="1" si="48"/>
        <v>0</v>
      </c>
      <c r="CM31" s="124">
        <f t="shared" ca="1" si="49"/>
        <v>0</v>
      </c>
      <c r="CN31" s="112">
        <f t="shared" ca="1" si="50"/>
        <v>0</v>
      </c>
      <c r="CO31" s="112">
        <f t="shared" ca="1" si="51"/>
        <v>0</v>
      </c>
      <c r="CP31" s="112">
        <f t="shared" ca="1" si="52"/>
        <v>0</v>
      </c>
      <c r="CQ31" s="112" t="str">
        <f t="shared" ca="1" si="71"/>
        <v/>
      </c>
      <c r="CR31" s="112" t="str">
        <f t="shared" ca="1" si="72"/>
        <v/>
      </c>
      <c r="CS31" s="112" t="str">
        <f t="shared" ca="1" si="73"/>
        <v/>
      </c>
      <c r="CT31" s="112" t="str">
        <f t="shared" ca="1" si="74"/>
        <v/>
      </c>
      <c r="CU31" s="112" t="str">
        <f t="shared" ca="1" si="75"/>
        <v/>
      </c>
      <c r="CV31" s="112" t="str">
        <f t="shared" ca="1" si="76"/>
        <v/>
      </c>
      <c r="CW31" s="112" t="str">
        <f t="shared" ca="1" si="53"/>
        <v/>
      </c>
      <c r="CX31" s="112" t="str">
        <f t="shared" ca="1" si="77"/>
        <v/>
      </c>
      <c r="CY31" s="112" t="str">
        <f t="shared" ca="1" si="54"/>
        <v/>
      </c>
      <c r="CZ31" s="112" t="str">
        <f t="shared" ca="1" si="78"/>
        <v/>
      </c>
      <c r="DA31" s="112" t="str">
        <f t="shared" ca="1" si="55"/>
        <v/>
      </c>
      <c r="DB31" s="112" t="str">
        <f t="shared" ca="1" si="56"/>
        <v/>
      </c>
      <c r="DC31" s="112" t="str">
        <f t="shared" ca="1" si="57"/>
        <v/>
      </c>
      <c r="DD31" s="112" t="str">
        <f t="shared" ca="1" si="58"/>
        <v/>
      </c>
      <c r="DE31" s="112" t="str">
        <f t="shared" ca="1" si="59"/>
        <v/>
      </c>
      <c r="DF31" s="112" t="str">
        <f t="shared" ca="1" si="60"/>
        <v/>
      </c>
      <c r="DG31" s="125" t="str">
        <f t="shared" ca="1" si="61"/>
        <v>-</v>
      </c>
      <c r="DH31" s="125">
        <f t="shared" ca="1" si="62"/>
        <v>70</v>
      </c>
      <c r="DI31" s="125">
        <f t="shared" ca="1" si="63"/>
        <v>100</v>
      </c>
      <c r="DJ31" s="125">
        <f t="shared" ca="1" si="64"/>
        <v>40</v>
      </c>
      <c r="DK31" s="112">
        <f t="shared" ca="1" si="85"/>
        <v>0.17298276947696237</v>
      </c>
      <c r="DL31" s="112">
        <f t="shared" ca="1" si="86"/>
        <v>0.13570110928658924</v>
      </c>
      <c r="DM31" s="112">
        <f t="shared" ca="1" si="87"/>
        <v>5.2745827106790051E-2</v>
      </c>
      <c r="DN31" s="112">
        <f t="shared" si="88"/>
        <v>0.17298276947696237</v>
      </c>
      <c r="DO31" s="112">
        <f t="shared" si="89"/>
        <v>0.13570110928658924</v>
      </c>
      <c r="DP31" s="112">
        <f t="shared" si="90"/>
        <v>5.2745827106790051E-2</v>
      </c>
      <c r="DQ31" s="112">
        <f t="shared" ca="1" si="79"/>
        <v>43.61</v>
      </c>
      <c r="DR31" s="112">
        <f t="shared" ca="1" si="67"/>
        <v>25.06</v>
      </c>
      <c r="DS31" s="112">
        <f t="shared" ca="1" si="68"/>
        <v>22.8</v>
      </c>
      <c r="DT31" s="112">
        <f t="shared" si="80"/>
        <v>43.61</v>
      </c>
      <c r="DU31" s="112">
        <f t="shared" si="81"/>
        <v>25.06</v>
      </c>
      <c r="DV31" s="112">
        <f t="shared" si="82"/>
        <v>22.8</v>
      </c>
      <c r="DW31" s="260"/>
      <c r="DX31" s="168"/>
      <c r="DY31" s="168"/>
      <c r="DZ31" s="151"/>
      <c r="EA31" s="151"/>
    </row>
    <row r="32" spans="1:131" s="151" customFormat="1" ht="14" customHeight="1">
      <c r="A32" s="19"/>
      <c r="B32" s="228"/>
      <c r="C32" s="218"/>
      <c r="D32" s="218"/>
      <c r="E32" s="218"/>
      <c r="F32" s="222"/>
      <c r="G32" s="229"/>
      <c r="H32" s="218"/>
      <c r="I32" s="218"/>
      <c r="J32" s="218"/>
      <c r="K32" s="218"/>
      <c r="L32" s="106"/>
      <c r="M32" s="6"/>
      <c r="N32" s="230"/>
      <c r="O32" s="9"/>
      <c r="P32" s="231"/>
      <c r="Q32" s="223"/>
      <c r="R32" s="231"/>
      <c r="S32" s="223"/>
      <c r="T32" s="232"/>
      <c r="U32" s="231"/>
      <c r="V32" s="223"/>
      <c r="W32" s="9"/>
      <c r="X32" s="233"/>
      <c r="Y32" s="233"/>
      <c r="Z32" s="215"/>
      <c r="AA32" s="215"/>
      <c r="AB32" s="215"/>
      <c r="AC32" s="94"/>
      <c r="AD32" s="94"/>
      <c r="AE32" s="149"/>
      <c r="AF32" s="149"/>
      <c r="AG32" s="112">
        <f t="shared" ca="1" si="0"/>
        <v>57.68</v>
      </c>
      <c r="AH32" s="112">
        <f t="shared" ca="1" si="1"/>
        <v>46.76</v>
      </c>
      <c r="AI32" s="112">
        <f t="shared" ca="1" si="2"/>
        <v>-3.21</v>
      </c>
      <c r="AJ32" s="112">
        <f t="shared" ca="1" si="3"/>
        <v>46.870051205433938</v>
      </c>
      <c r="AK32" s="112">
        <f t="shared" ca="1" si="69"/>
        <v>356.07289663898985</v>
      </c>
      <c r="AL32" s="255"/>
      <c r="AM32" s="112">
        <f t="shared" si="4"/>
        <v>57.68</v>
      </c>
      <c r="AN32" s="112">
        <f t="shared" si="5"/>
        <v>46.76</v>
      </c>
      <c r="AO32" s="112">
        <f t="shared" si="6"/>
        <v>-3.21</v>
      </c>
      <c r="AP32" s="112">
        <f t="shared" si="7"/>
        <v>46.870051205433938</v>
      </c>
      <c r="AQ32" s="112">
        <f t="shared" si="70"/>
        <v>356.07289663898985</v>
      </c>
      <c r="AR32" s="255"/>
      <c r="AS32" s="112">
        <f t="shared" ca="1" si="8"/>
        <v>0</v>
      </c>
      <c r="AT32" s="112">
        <f t="shared" ca="1" si="9"/>
        <v>0</v>
      </c>
      <c r="AU32" s="112">
        <f t="shared" ca="1" si="10"/>
        <v>0</v>
      </c>
      <c r="AV32" s="112">
        <f t="shared" ca="1" si="11"/>
        <v>0</v>
      </c>
      <c r="AW32" s="112">
        <f t="shared" ca="1" si="83"/>
        <v>0</v>
      </c>
      <c r="AX32" s="109">
        <f t="shared" ca="1" si="13"/>
        <v>0</v>
      </c>
      <c r="AY32" s="112">
        <f t="shared" si="14"/>
        <v>1.1711482162005735</v>
      </c>
      <c r="AZ32" s="112">
        <f t="shared" si="15"/>
        <v>2.4907345615318204</v>
      </c>
      <c r="BA32" s="112">
        <f t="shared" si="16"/>
        <v>1.7501471645983271</v>
      </c>
      <c r="BB32" s="112">
        <f t="shared" si="17"/>
        <v>0.70260453248223353</v>
      </c>
      <c r="BC32" s="112">
        <f t="shared" si="18"/>
        <v>0.99980320517300192</v>
      </c>
      <c r="BD32" s="112">
        <f t="shared" ca="1" si="19"/>
        <v>57.68</v>
      </c>
      <c r="BE32" s="112">
        <f t="shared" si="20"/>
        <v>46.870051205433938</v>
      </c>
      <c r="BF32" s="112">
        <f t="shared" ca="1" si="21"/>
        <v>46.870051205433938</v>
      </c>
      <c r="BG32" s="112">
        <f t="shared" ca="1" si="22"/>
        <v>46.870051205433938</v>
      </c>
      <c r="BH32" s="112">
        <f t="shared" ca="1" si="23"/>
        <v>3.0428008141524243E-3</v>
      </c>
      <c r="BI32" s="112">
        <f t="shared" ca="1" si="24"/>
        <v>46.902281366069772</v>
      </c>
      <c r="BJ32" s="112">
        <f t="shared" ca="1" si="25"/>
        <v>46.902281366069772</v>
      </c>
      <c r="BK32" s="112">
        <f t="shared" ca="1" si="26"/>
        <v>47.011999503764734</v>
      </c>
      <c r="BL32" s="112">
        <f t="shared" ca="1" si="27"/>
        <v>47.011999503764734</v>
      </c>
      <c r="BM32" s="112">
        <f t="shared" ca="1" si="28"/>
        <v>47.011999503764734</v>
      </c>
      <c r="BN32" s="112">
        <f t="shared" ca="1" si="29"/>
        <v>356.08477267602643</v>
      </c>
      <c r="BO32" s="112">
        <f t="shared" ca="1" si="30"/>
        <v>356.08477267602643</v>
      </c>
      <c r="BP32" s="112">
        <f t="shared" ca="1" si="31"/>
        <v>356.08477267602643</v>
      </c>
      <c r="BQ32" s="112">
        <f t="shared" ca="1" si="32"/>
        <v>1.3757545650665939</v>
      </c>
      <c r="BR32" s="112">
        <f t="shared" ca="1" si="33"/>
        <v>0</v>
      </c>
      <c r="BS32" s="112">
        <f t="shared" ca="1" si="34"/>
        <v>0</v>
      </c>
      <c r="BT32" s="112">
        <f t="shared" ca="1" si="35"/>
        <v>0</v>
      </c>
      <c r="BU32" s="112">
        <f t="shared" ca="1" si="36"/>
        <v>0</v>
      </c>
      <c r="BV32" s="112">
        <f t="shared" ca="1" si="37"/>
        <v>1.0995516668286656</v>
      </c>
      <c r="BW32" s="112">
        <f t="shared" ca="1" si="38"/>
        <v>3.115539977669413</v>
      </c>
      <c r="BX32" s="112">
        <f t="shared" ca="1" si="39"/>
        <v>1.9701545939531917</v>
      </c>
      <c r="BY32" s="112">
        <f t="shared" ca="1" si="40"/>
        <v>8.1007218724397402E-4</v>
      </c>
      <c r="BZ32" s="112">
        <f t="shared" ca="1" si="41"/>
        <v>1.9880814526000008</v>
      </c>
      <c r="CA32" s="112">
        <f t="shared" ca="1" si="42"/>
        <v>-5.621668835640915E-5</v>
      </c>
      <c r="CB32" s="112">
        <v>1</v>
      </c>
      <c r="CC32" s="112">
        <v>1</v>
      </c>
      <c r="CD32" s="112">
        <v>1</v>
      </c>
      <c r="CE32" s="112">
        <v>1</v>
      </c>
      <c r="CF32" s="109">
        <f t="shared" ca="1" si="43"/>
        <v>3.1091523042445273</v>
      </c>
      <c r="CG32" s="112">
        <f t="shared" ca="1" si="44"/>
        <v>1.703050768081509</v>
      </c>
      <c r="CH32" s="255"/>
      <c r="CI32" s="150" t="str">
        <f t="shared" ca="1" si="45"/>
        <v>C0M75Y0K0</v>
      </c>
      <c r="CJ32" s="125">
        <f t="shared" ca="1" si="46"/>
        <v>0</v>
      </c>
      <c r="CK32" s="125">
        <f t="shared" ca="1" si="47"/>
        <v>0</v>
      </c>
      <c r="CL32" s="125">
        <f t="shared" ca="1" si="48"/>
        <v>0</v>
      </c>
      <c r="CM32" s="124">
        <f t="shared" ca="1" si="49"/>
        <v>0</v>
      </c>
      <c r="CN32" s="112">
        <f t="shared" ca="1" si="50"/>
        <v>0</v>
      </c>
      <c r="CO32" s="112">
        <f t="shared" ca="1" si="51"/>
        <v>0</v>
      </c>
      <c r="CP32" s="112">
        <f t="shared" ca="1" si="52"/>
        <v>0</v>
      </c>
      <c r="CQ32" s="112" t="str">
        <f t="shared" ca="1" si="71"/>
        <v/>
      </c>
      <c r="CR32" s="112" t="str">
        <f t="shared" ca="1" si="72"/>
        <v/>
      </c>
      <c r="CS32" s="112" t="str">
        <f t="shared" ca="1" si="73"/>
        <v/>
      </c>
      <c r="CT32" s="112" t="str">
        <f t="shared" ca="1" si="74"/>
        <v/>
      </c>
      <c r="CU32" s="112" t="str">
        <f t="shared" ca="1" si="75"/>
        <v/>
      </c>
      <c r="CV32" s="112" t="str">
        <f t="shared" ca="1" si="76"/>
        <v/>
      </c>
      <c r="CW32" s="112" t="str">
        <f t="shared" ca="1" si="53"/>
        <v/>
      </c>
      <c r="CX32" s="112" t="str">
        <f t="shared" ca="1" si="77"/>
        <v/>
      </c>
      <c r="CY32" s="112" t="str">
        <f t="shared" ca="1" si="54"/>
        <v/>
      </c>
      <c r="CZ32" s="112" t="str">
        <f t="shared" ca="1" si="78"/>
        <v/>
      </c>
      <c r="DA32" s="112" t="str">
        <f t="shared" ca="1" si="55"/>
        <v/>
      </c>
      <c r="DB32" s="112" t="str">
        <f t="shared" ca="1" si="56"/>
        <v/>
      </c>
      <c r="DC32" s="112" t="str">
        <f t="shared" ca="1" si="57"/>
        <v/>
      </c>
      <c r="DD32" s="112" t="str">
        <f t="shared" ca="1" si="58"/>
        <v/>
      </c>
      <c r="DE32" s="112" t="str">
        <f t="shared" ca="1" si="59"/>
        <v/>
      </c>
      <c r="DF32" s="112" t="str">
        <f t="shared" ca="1" si="60"/>
        <v/>
      </c>
      <c r="DG32" s="125" t="str">
        <f t="shared" ca="1" si="61"/>
        <v>-</v>
      </c>
      <c r="DH32" s="125">
        <f t="shared" ca="1" si="62"/>
        <v>75</v>
      </c>
      <c r="DI32" s="125" t="str">
        <f t="shared" ca="1" si="63"/>
        <v>-</v>
      </c>
      <c r="DJ32" s="125" t="str">
        <f t="shared" ca="1" si="64"/>
        <v>-</v>
      </c>
      <c r="DK32" s="112">
        <f t="shared" ca="1" si="85"/>
        <v>0.37307819922984786</v>
      </c>
      <c r="DL32" s="112">
        <f t="shared" ca="1" si="86"/>
        <v>0.25625649628931085</v>
      </c>
      <c r="DM32" s="112">
        <f t="shared" ca="1" si="87"/>
        <v>0.22781867554559745</v>
      </c>
      <c r="DN32" s="112">
        <f t="shared" si="88"/>
        <v>0.37307819922984786</v>
      </c>
      <c r="DO32" s="112">
        <f t="shared" si="89"/>
        <v>0.25625649628931085</v>
      </c>
      <c r="DP32" s="112">
        <f t="shared" si="90"/>
        <v>0.22781867554559745</v>
      </c>
      <c r="DQ32" s="112">
        <f t="shared" ca="1" si="79"/>
        <v>57.68</v>
      </c>
      <c r="DR32" s="112">
        <f t="shared" ca="1" si="67"/>
        <v>46.76</v>
      </c>
      <c r="DS32" s="112">
        <f t="shared" ca="1" si="68"/>
        <v>-3.21</v>
      </c>
      <c r="DT32" s="112">
        <f t="shared" si="80"/>
        <v>57.68</v>
      </c>
      <c r="DU32" s="112">
        <f t="shared" si="81"/>
        <v>46.76</v>
      </c>
      <c r="DV32" s="112">
        <f t="shared" si="82"/>
        <v>-3.21</v>
      </c>
      <c r="DW32" s="260"/>
      <c r="DX32" s="168"/>
      <c r="DY32" s="168"/>
    </row>
    <row r="33" spans="1:129" s="151" customFormat="1" ht="14" customHeight="1">
      <c r="A33" s="152"/>
      <c r="B33" s="6"/>
      <c r="C33" s="6"/>
      <c r="D33" s="6"/>
      <c r="E33" s="6"/>
      <c r="F33" s="6"/>
      <c r="G33" s="6"/>
      <c r="H33" s="6"/>
      <c r="I33" s="6"/>
      <c r="J33" s="6"/>
      <c r="K33" s="6"/>
      <c r="L33" s="6"/>
      <c r="M33" s="6"/>
      <c r="N33" s="6"/>
      <c r="O33" s="6"/>
      <c r="P33" s="6"/>
      <c r="Q33" s="6"/>
      <c r="R33" s="64"/>
      <c r="S33" s="64"/>
      <c r="T33" s="64"/>
      <c r="U33" s="64"/>
      <c r="V33" s="66"/>
      <c r="W33" s="9"/>
      <c r="X33" s="9"/>
      <c r="Y33" s="9"/>
      <c r="Z33" s="215"/>
      <c r="AA33" s="215"/>
      <c r="AB33" s="215"/>
      <c r="AC33" s="94"/>
      <c r="AD33" s="94"/>
      <c r="AE33" s="149"/>
      <c r="AF33" s="149"/>
      <c r="AG33" s="112">
        <f t="shared" ca="1" si="0"/>
        <v>51</v>
      </c>
      <c r="AH33" s="112">
        <f t="shared" ca="1" si="1"/>
        <v>55</v>
      </c>
      <c r="AI33" s="112">
        <f t="shared" ca="1" si="2"/>
        <v>32</v>
      </c>
      <c r="AJ33" s="112">
        <f t="shared" ca="1" si="3"/>
        <v>63.631753079732135</v>
      </c>
      <c r="AK33" s="112">
        <f t="shared" ca="1" si="69"/>
        <v>30.191622960957609</v>
      </c>
      <c r="AL33" s="255"/>
      <c r="AM33" s="112">
        <f t="shared" si="4"/>
        <v>51</v>
      </c>
      <c r="AN33" s="112">
        <f t="shared" si="5"/>
        <v>55</v>
      </c>
      <c r="AO33" s="112">
        <f t="shared" si="6"/>
        <v>32</v>
      </c>
      <c r="AP33" s="112">
        <f t="shared" si="7"/>
        <v>63.631753079732135</v>
      </c>
      <c r="AQ33" s="112">
        <f t="shared" si="70"/>
        <v>30.191622960957609</v>
      </c>
      <c r="AR33" s="255"/>
      <c r="AS33" s="112">
        <f t="shared" ca="1" si="8"/>
        <v>0</v>
      </c>
      <c r="AT33" s="112">
        <f t="shared" ca="1" si="9"/>
        <v>0</v>
      </c>
      <c r="AU33" s="112">
        <f t="shared" ca="1" si="10"/>
        <v>0</v>
      </c>
      <c r="AV33" s="112">
        <f t="shared" ca="1" si="11"/>
        <v>0</v>
      </c>
      <c r="AW33" s="112">
        <f t="shared" ca="1" si="83"/>
        <v>0</v>
      </c>
      <c r="AX33" s="109">
        <f t="shared" ca="1" si="13"/>
        <v>0</v>
      </c>
      <c r="AY33" s="112">
        <f t="shared" si="14"/>
        <v>1.0997684393337368</v>
      </c>
      <c r="AZ33" s="112">
        <f t="shared" si="15"/>
        <v>2.8520919837614556</v>
      </c>
      <c r="BA33" s="112">
        <f t="shared" si="16"/>
        <v>1.5055089211445247</v>
      </c>
      <c r="BB33" s="112">
        <f t="shared" si="17"/>
        <v>0.52783392052208078</v>
      </c>
      <c r="BC33" s="112">
        <f t="shared" si="18"/>
        <v>0.99994205842384531</v>
      </c>
      <c r="BD33" s="112">
        <f t="shared" ca="1" si="19"/>
        <v>51</v>
      </c>
      <c r="BE33" s="112">
        <f t="shared" si="20"/>
        <v>63.631753079732135</v>
      </c>
      <c r="BF33" s="112">
        <f t="shared" ca="1" si="21"/>
        <v>63.631753079732135</v>
      </c>
      <c r="BG33" s="112">
        <f t="shared" ca="1" si="22"/>
        <v>63.631753079732135</v>
      </c>
      <c r="BH33" s="112">
        <f t="shared" ca="1" si="23"/>
        <v>3.6085481191755475E-4</v>
      </c>
      <c r="BI33" s="112">
        <f t="shared" ca="1" si="24"/>
        <v>55.019847014655468</v>
      </c>
      <c r="BJ33" s="112">
        <f t="shared" ca="1" si="25"/>
        <v>55.019847014655468</v>
      </c>
      <c r="BK33" s="112">
        <f t="shared" ca="1" si="26"/>
        <v>63.648908596425215</v>
      </c>
      <c r="BL33" s="112">
        <f t="shared" ca="1" si="27"/>
        <v>63.648908596425215</v>
      </c>
      <c r="BM33" s="112">
        <f t="shared" ca="1" si="28"/>
        <v>63.648908596425215</v>
      </c>
      <c r="BN33" s="112">
        <f t="shared" ca="1" si="29"/>
        <v>30.182638273931904</v>
      </c>
      <c r="BO33" s="112">
        <f t="shared" ca="1" si="30"/>
        <v>30.182638273931904</v>
      </c>
      <c r="BP33" s="112">
        <f t="shared" ca="1" si="31"/>
        <v>30.182638273931904</v>
      </c>
      <c r="BQ33" s="112">
        <f t="shared" ca="1" si="32"/>
        <v>0.8054021477855845</v>
      </c>
      <c r="BR33" s="112">
        <f t="shared" ca="1" si="33"/>
        <v>0</v>
      </c>
      <c r="BS33" s="112">
        <f t="shared" ca="1" si="34"/>
        <v>0</v>
      </c>
      <c r="BT33" s="112">
        <f t="shared" ca="1" si="35"/>
        <v>0</v>
      </c>
      <c r="BU33" s="112">
        <f t="shared" ca="1" si="36"/>
        <v>0</v>
      </c>
      <c r="BV33" s="112">
        <f t="shared" ca="1" si="37"/>
        <v>1.0032732683535399</v>
      </c>
      <c r="BW33" s="112">
        <f t="shared" ca="1" si="38"/>
        <v>3.8642008868391344</v>
      </c>
      <c r="BX33" s="112">
        <f t="shared" ca="1" si="39"/>
        <v>1.7689445153165382</v>
      </c>
      <c r="BY33" s="112">
        <f t="shared" ca="1" si="40"/>
        <v>6.755258444393713E-41</v>
      </c>
      <c r="BZ33" s="112">
        <f t="shared" ca="1" si="41"/>
        <v>1.9985592989611143</v>
      </c>
      <c r="CA33" s="112">
        <f t="shared" ca="1" si="42"/>
        <v>-4.7126628507937547E-42</v>
      </c>
      <c r="CB33" s="112">
        <v>1</v>
      </c>
      <c r="CC33" s="112">
        <v>1</v>
      </c>
      <c r="CD33" s="112">
        <v>1</v>
      </c>
      <c r="CE33" s="112">
        <v>1</v>
      </c>
      <c r="CF33" s="109">
        <f t="shared" ca="1" si="43"/>
        <v>3.8634288885879462</v>
      </c>
      <c r="CG33" s="112">
        <f t="shared" ca="1" si="44"/>
        <v>1.9544762961959821</v>
      </c>
      <c r="CH33" s="255"/>
      <c r="CI33" s="150" t="str">
        <f t="shared" ca="1" si="45"/>
        <v>C0M100Y100K0</v>
      </c>
      <c r="CJ33" s="125">
        <f t="shared" ca="1" si="46"/>
        <v>0</v>
      </c>
      <c r="CK33" s="125">
        <f t="shared" ca="1" si="47"/>
        <v>0</v>
      </c>
      <c r="CL33" s="125">
        <f t="shared" ca="1" si="48"/>
        <v>0</v>
      </c>
      <c r="CM33" s="124">
        <f t="shared" ca="1" si="49"/>
        <v>0</v>
      </c>
      <c r="CN33" s="112">
        <f t="shared" ca="1" si="50"/>
        <v>0</v>
      </c>
      <c r="CO33" s="112">
        <f t="shared" ca="1" si="51"/>
        <v>0</v>
      </c>
      <c r="CP33" s="112">
        <f t="shared" ca="1" si="52"/>
        <v>0</v>
      </c>
      <c r="CQ33" s="112" t="str">
        <f t="shared" ca="1" si="71"/>
        <v/>
      </c>
      <c r="CR33" s="112" t="str">
        <f t="shared" ca="1" si="72"/>
        <v/>
      </c>
      <c r="CS33" s="112" t="str">
        <f t="shared" ca="1" si="73"/>
        <v/>
      </c>
      <c r="CT33" s="112" t="str">
        <f t="shared" ca="1" si="74"/>
        <v>C0M100Y100K0</v>
      </c>
      <c r="CU33" s="112">
        <f t="shared" ca="1" si="75"/>
        <v>0</v>
      </c>
      <c r="CV33" s="112">
        <f t="shared" ca="1" si="76"/>
        <v>0</v>
      </c>
      <c r="CW33" s="112" t="str">
        <f t="shared" ca="1" si="53"/>
        <v/>
      </c>
      <c r="CX33" s="112" t="str">
        <f t="shared" ca="1" si="77"/>
        <v/>
      </c>
      <c r="CY33" s="112" t="str">
        <f t="shared" ca="1" si="54"/>
        <v/>
      </c>
      <c r="CZ33" s="112" t="str">
        <f t="shared" ca="1" si="78"/>
        <v/>
      </c>
      <c r="DA33" s="112" t="str">
        <f t="shared" ca="1" si="55"/>
        <v/>
      </c>
      <c r="DB33" s="112" t="str">
        <f t="shared" ca="1" si="56"/>
        <v/>
      </c>
      <c r="DC33" s="112" t="str">
        <f t="shared" ca="1" si="57"/>
        <v/>
      </c>
      <c r="DD33" s="112" t="str">
        <f t="shared" ca="1" si="58"/>
        <v/>
      </c>
      <c r="DE33" s="112" t="str">
        <f t="shared" ca="1" si="59"/>
        <v/>
      </c>
      <c r="DF33" s="112" t="str">
        <f t="shared" ca="1" si="60"/>
        <v/>
      </c>
      <c r="DG33" s="125" t="str">
        <f t="shared" ca="1" si="61"/>
        <v>-</v>
      </c>
      <c r="DH33" s="125">
        <f t="shared" ca="1" si="62"/>
        <v>100</v>
      </c>
      <c r="DI33" s="125">
        <f t="shared" ca="1" si="63"/>
        <v>100</v>
      </c>
      <c r="DJ33" s="125" t="str">
        <f t="shared" ca="1" si="64"/>
        <v>-</v>
      </c>
      <c r="DK33" s="112">
        <f t="shared" ca="1" si="85"/>
        <v>0.31343579724190407</v>
      </c>
      <c r="DL33" s="112">
        <f t="shared" ca="1" si="86"/>
        <v>0.19268612386731723</v>
      </c>
      <c r="DM33" s="112">
        <f t="shared" ca="1" si="87"/>
        <v>6.0067525211443658E-2</v>
      </c>
      <c r="DN33" s="112">
        <f t="shared" si="88"/>
        <v>0.31343579724190407</v>
      </c>
      <c r="DO33" s="112">
        <f t="shared" si="89"/>
        <v>0.19268612386731723</v>
      </c>
      <c r="DP33" s="112">
        <f t="shared" si="90"/>
        <v>6.0067525211443658E-2</v>
      </c>
      <c r="DQ33" s="112">
        <f t="shared" ca="1" si="79"/>
        <v>51</v>
      </c>
      <c r="DR33" s="112">
        <f t="shared" ca="1" si="67"/>
        <v>55</v>
      </c>
      <c r="DS33" s="112">
        <f t="shared" ca="1" si="68"/>
        <v>32</v>
      </c>
      <c r="DT33" s="112">
        <f t="shared" si="80"/>
        <v>51</v>
      </c>
      <c r="DU33" s="112">
        <f t="shared" si="81"/>
        <v>55</v>
      </c>
      <c r="DV33" s="112">
        <f t="shared" si="82"/>
        <v>32</v>
      </c>
      <c r="DW33" s="260"/>
      <c r="DX33" s="168"/>
      <c r="DY33" s="168"/>
    </row>
    <row r="34" spans="1:129" s="151" customFormat="1" ht="14" customHeight="1">
      <c r="A34" s="158"/>
      <c r="B34" s="16" t="s">
        <v>14</v>
      </c>
      <c r="C34" s="16"/>
      <c r="D34" s="26"/>
      <c r="E34" s="26"/>
      <c r="F34" s="26"/>
      <c r="G34" s="26"/>
      <c r="H34" s="16" t="s">
        <v>21</v>
      </c>
      <c r="I34" s="26"/>
      <c r="J34" s="26"/>
      <c r="K34" s="27"/>
      <c r="L34" s="16" t="s">
        <v>8</v>
      </c>
      <c r="M34" s="27"/>
      <c r="N34" s="26"/>
      <c r="O34" s="27"/>
      <c r="P34" s="27"/>
      <c r="Q34" s="6"/>
      <c r="R34" s="64"/>
      <c r="S34" s="64"/>
      <c r="T34" s="64"/>
      <c r="U34" s="64"/>
      <c r="V34" s="64"/>
      <c r="W34" s="7"/>
      <c r="X34" s="65"/>
      <c r="Y34" s="65"/>
      <c r="Z34" s="215"/>
      <c r="AA34" s="215"/>
      <c r="AB34" s="215"/>
      <c r="AC34" s="94"/>
      <c r="AD34" s="94"/>
      <c r="AE34" s="149"/>
      <c r="AF34" s="149"/>
      <c r="AG34" s="112">
        <f t="shared" ca="1" si="0"/>
        <v>44.77</v>
      </c>
      <c r="AH34" s="112">
        <f t="shared" ca="1" si="1"/>
        <v>-21.13</v>
      </c>
      <c r="AI34" s="112">
        <f t="shared" ca="1" si="2"/>
        <v>18.71</v>
      </c>
      <c r="AJ34" s="112">
        <f t="shared" ca="1" si="3"/>
        <v>28.223057949130883</v>
      </c>
      <c r="AK34" s="112">
        <f t="shared" ca="1" si="69"/>
        <v>138.47604492493338</v>
      </c>
      <c r="AL34" s="255"/>
      <c r="AM34" s="112">
        <f t="shared" si="4"/>
        <v>44.77</v>
      </c>
      <c r="AN34" s="112">
        <f t="shared" si="5"/>
        <v>-21.13</v>
      </c>
      <c r="AO34" s="112">
        <f t="shared" si="6"/>
        <v>18.71</v>
      </c>
      <c r="AP34" s="112">
        <f t="shared" si="7"/>
        <v>28.223057949130883</v>
      </c>
      <c r="AQ34" s="112">
        <f t="shared" si="70"/>
        <v>138.47604492493338</v>
      </c>
      <c r="AR34" s="255"/>
      <c r="AS34" s="112">
        <f t="shared" ca="1" si="8"/>
        <v>0</v>
      </c>
      <c r="AT34" s="112">
        <f t="shared" ca="1" si="9"/>
        <v>0</v>
      </c>
      <c r="AU34" s="112">
        <f t="shared" ca="1" si="10"/>
        <v>0</v>
      </c>
      <c r="AV34" s="112">
        <f t="shared" ca="1" si="11"/>
        <v>0</v>
      </c>
      <c r="AW34" s="112">
        <f t="shared" ca="1" si="83"/>
        <v>0</v>
      </c>
      <c r="AX34" s="109">
        <f t="shared" ca="1" si="13"/>
        <v>0</v>
      </c>
      <c r="AY34" s="112">
        <f t="shared" si="14"/>
        <v>1.0247237654316677</v>
      </c>
      <c r="AZ34" s="112">
        <f t="shared" si="15"/>
        <v>1.9525959686839656</v>
      </c>
      <c r="BA34" s="112">
        <f t="shared" si="16"/>
        <v>1.4796229253186302</v>
      </c>
      <c r="BB34" s="112">
        <f t="shared" si="17"/>
        <v>0.75740977565923828</v>
      </c>
      <c r="BC34" s="112">
        <f t="shared" si="18"/>
        <v>0.9985060596021671</v>
      </c>
      <c r="BD34" s="112">
        <f t="shared" ca="1" si="19"/>
        <v>44.77</v>
      </c>
      <c r="BE34" s="112">
        <f t="shared" si="20"/>
        <v>28.223057949130883</v>
      </c>
      <c r="BF34" s="112">
        <f t="shared" ca="1" si="21"/>
        <v>28.223057949130883</v>
      </c>
      <c r="BG34" s="112">
        <f t="shared" ca="1" si="22"/>
        <v>28.223057949130883</v>
      </c>
      <c r="BH34" s="112">
        <f t="shared" ca="1" si="23"/>
        <v>8.157298735157259E-2</v>
      </c>
      <c r="BI34" s="112">
        <f t="shared" ca="1" si="24"/>
        <v>-22.853637222738726</v>
      </c>
      <c r="BJ34" s="112">
        <f t="shared" ca="1" si="25"/>
        <v>-22.853637222738726</v>
      </c>
      <c r="BK34" s="112">
        <f t="shared" ca="1" si="26"/>
        <v>29.535619754942491</v>
      </c>
      <c r="BL34" s="112">
        <f t="shared" ca="1" si="27"/>
        <v>29.535619754942491</v>
      </c>
      <c r="BM34" s="112">
        <f t="shared" ca="1" si="28"/>
        <v>29.535619754942491</v>
      </c>
      <c r="BN34" s="112">
        <f t="shared" ca="1" si="29"/>
        <v>140.69322273699024</v>
      </c>
      <c r="BO34" s="112">
        <f t="shared" ca="1" si="30"/>
        <v>140.69322273699024</v>
      </c>
      <c r="BP34" s="112">
        <f t="shared" ca="1" si="31"/>
        <v>140.69322273699024</v>
      </c>
      <c r="BQ34" s="112">
        <f t="shared" ca="1" si="32"/>
        <v>1.3796135685694828</v>
      </c>
      <c r="BR34" s="112">
        <f t="shared" ca="1" si="33"/>
        <v>0</v>
      </c>
      <c r="BS34" s="112">
        <f t="shared" ca="1" si="34"/>
        <v>0</v>
      </c>
      <c r="BT34" s="112">
        <f t="shared" ca="1" si="35"/>
        <v>0</v>
      </c>
      <c r="BU34" s="112">
        <f t="shared" ca="1" si="36"/>
        <v>0</v>
      </c>
      <c r="BV34" s="112">
        <f t="shared" ca="1" si="37"/>
        <v>1.0596240326607307</v>
      </c>
      <c r="BW34" s="112">
        <f t="shared" ca="1" si="38"/>
        <v>2.3291028889724119</v>
      </c>
      <c r="BX34" s="112">
        <f t="shared" ca="1" si="39"/>
        <v>1.611216126550413</v>
      </c>
      <c r="BY34" s="112">
        <f t="shared" ca="1" si="40"/>
        <v>8.76636139064626E-12</v>
      </c>
      <c r="BZ34" s="112">
        <f t="shared" ca="1" si="41"/>
        <v>1.7465520712632041</v>
      </c>
      <c r="CA34" s="112">
        <f t="shared" ca="1" si="42"/>
        <v>-5.3445146481615019E-13</v>
      </c>
      <c r="CB34" s="112">
        <v>1</v>
      </c>
      <c r="CC34" s="112">
        <v>1</v>
      </c>
      <c r="CD34" s="112">
        <v>1</v>
      </c>
      <c r="CE34" s="112">
        <v>1</v>
      </c>
      <c r="CF34" s="109">
        <f t="shared" ca="1" si="43"/>
        <v>2.2700376077108899</v>
      </c>
      <c r="CG34" s="112">
        <f t="shared" ca="1" si="44"/>
        <v>1.4233458692369632</v>
      </c>
      <c r="CH34" s="255"/>
      <c r="CI34" s="150" t="str">
        <f t="shared" ca="1" si="45"/>
        <v>C70M0Y100K40</v>
      </c>
      <c r="CJ34" s="125">
        <f t="shared" ca="1" si="46"/>
        <v>0</v>
      </c>
      <c r="CK34" s="125">
        <f t="shared" ca="1" si="47"/>
        <v>0</v>
      </c>
      <c r="CL34" s="125">
        <f t="shared" ca="1" si="48"/>
        <v>0</v>
      </c>
      <c r="CM34" s="124">
        <f t="shared" ca="1" si="49"/>
        <v>0</v>
      </c>
      <c r="CN34" s="112">
        <f t="shared" ca="1" si="50"/>
        <v>0</v>
      </c>
      <c r="CO34" s="112">
        <f t="shared" ca="1" si="51"/>
        <v>0</v>
      </c>
      <c r="CP34" s="112">
        <f t="shared" ca="1" si="52"/>
        <v>0</v>
      </c>
      <c r="CQ34" s="112" t="str">
        <f t="shared" ca="1" si="71"/>
        <v/>
      </c>
      <c r="CR34" s="112" t="str">
        <f t="shared" ca="1" si="72"/>
        <v/>
      </c>
      <c r="CS34" s="112" t="str">
        <f t="shared" ca="1" si="73"/>
        <v/>
      </c>
      <c r="CT34" s="112" t="str">
        <f t="shared" ca="1" si="74"/>
        <v/>
      </c>
      <c r="CU34" s="112" t="str">
        <f t="shared" ca="1" si="75"/>
        <v/>
      </c>
      <c r="CV34" s="112" t="str">
        <f t="shared" ca="1" si="76"/>
        <v/>
      </c>
      <c r="CW34" s="112" t="str">
        <f t="shared" ca="1" si="53"/>
        <v/>
      </c>
      <c r="CX34" s="112" t="str">
        <f t="shared" ca="1" si="77"/>
        <v/>
      </c>
      <c r="CY34" s="112" t="str">
        <f t="shared" ca="1" si="54"/>
        <v/>
      </c>
      <c r="CZ34" s="112" t="str">
        <f t="shared" ca="1" si="78"/>
        <v/>
      </c>
      <c r="DA34" s="112" t="str">
        <f t="shared" ca="1" si="55"/>
        <v/>
      </c>
      <c r="DB34" s="112" t="str">
        <f t="shared" ca="1" si="56"/>
        <v/>
      </c>
      <c r="DC34" s="112" t="str">
        <f t="shared" ca="1" si="57"/>
        <v/>
      </c>
      <c r="DD34" s="112" t="str">
        <f t="shared" ca="1" si="58"/>
        <v/>
      </c>
      <c r="DE34" s="112" t="str">
        <f t="shared" ca="1" si="59"/>
        <v/>
      </c>
      <c r="DF34" s="112" t="str">
        <f t="shared" ca="1" si="60"/>
        <v/>
      </c>
      <c r="DG34" s="125">
        <f t="shared" ca="1" si="61"/>
        <v>70</v>
      </c>
      <c r="DH34" s="125" t="str">
        <f t="shared" ca="1" si="62"/>
        <v>-</v>
      </c>
      <c r="DI34" s="125">
        <f t="shared" ca="1" si="63"/>
        <v>100</v>
      </c>
      <c r="DJ34" s="125">
        <f t="shared" ca="1" si="64"/>
        <v>40</v>
      </c>
      <c r="DK34" s="112">
        <f t="shared" ca="1" si="85"/>
        <v>0.10771564877585306</v>
      </c>
      <c r="DL34" s="112">
        <f t="shared" ca="1" si="86"/>
        <v>0.14377843144770697</v>
      </c>
      <c r="DM34" s="112">
        <f t="shared" ca="1" si="87"/>
        <v>6.57361229313662E-2</v>
      </c>
      <c r="DN34" s="112">
        <f t="shared" si="88"/>
        <v>0.10771564877585306</v>
      </c>
      <c r="DO34" s="112">
        <f t="shared" si="89"/>
        <v>0.14377843144770697</v>
      </c>
      <c r="DP34" s="112">
        <f t="shared" si="90"/>
        <v>6.57361229313662E-2</v>
      </c>
      <c r="DQ34" s="112">
        <f t="shared" ca="1" si="79"/>
        <v>44.77</v>
      </c>
      <c r="DR34" s="112">
        <f t="shared" ca="1" si="67"/>
        <v>-21.13</v>
      </c>
      <c r="DS34" s="112">
        <f t="shared" ca="1" si="68"/>
        <v>18.71</v>
      </c>
      <c r="DT34" s="112">
        <f t="shared" si="80"/>
        <v>44.77</v>
      </c>
      <c r="DU34" s="112">
        <f t="shared" si="81"/>
        <v>-21.13</v>
      </c>
      <c r="DV34" s="112">
        <f t="shared" si="82"/>
        <v>18.71</v>
      </c>
      <c r="DW34" s="260"/>
      <c r="DX34" s="168"/>
      <c r="DY34" s="168"/>
    </row>
    <row r="35" spans="1:129" s="151" customFormat="1" ht="14" customHeight="1" thickBot="1">
      <c r="A35" s="158"/>
      <c r="B35" s="17" t="s">
        <v>10</v>
      </c>
      <c r="C35" s="17" t="s">
        <v>11</v>
      </c>
      <c r="D35" s="17" t="s">
        <v>12</v>
      </c>
      <c r="E35" s="17" t="s">
        <v>13</v>
      </c>
      <c r="F35" s="26"/>
      <c r="G35" s="26"/>
      <c r="H35" s="183" t="s">
        <v>5</v>
      </c>
      <c r="I35" s="183" t="s">
        <v>6</v>
      </c>
      <c r="J35" s="183" t="s">
        <v>7</v>
      </c>
      <c r="K35" s="25"/>
      <c r="L35" s="18" t="s">
        <v>5</v>
      </c>
      <c r="M35" s="18" t="s">
        <v>6</v>
      </c>
      <c r="N35" s="18" t="s">
        <v>7</v>
      </c>
      <c r="O35" s="18"/>
      <c r="P35" s="194" t="s">
        <v>25</v>
      </c>
      <c r="Q35" s="6"/>
      <c r="R35" s="365" t="s">
        <v>110</v>
      </c>
      <c r="S35" s="365"/>
      <c r="T35" s="64"/>
      <c r="U35" s="365" t="s">
        <v>130</v>
      </c>
      <c r="V35" s="365"/>
      <c r="W35" s="7"/>
      <c r="X35" s="197" t="s">
        <v>263</v>
      </c>
      <c r="Y35" s="234" t="s">
        <v>265</v>
      </c>
      <c r="Z35" s="215"/>
      <c r="AA35" s="215"/>
      <c r="AB35" s="215"/>
      <c r="AC35" s="94"/>
      <c r="AD35" s="94"/>
      <c r="AE35" s="149"/>
      <c r="AF35" s="149"/>
      <c r="AG35" s="112">
        <f t="shared" ca="1" si="0"/>
        <v>66.150000000000006</v>
      </c>
      <c r="AH35" s="112">
        <f t="shared" ca="1" si="1"/>
        <v>31.8</v>
      </c>
      <c r="AI35" s="112">
        <f t="shared" ca="1" si="2"/>
        <v>-2.98</v>
      </c>
      <c r="AJ35" s="112">
        <f t="shared" ca="1" si="3"/>
        <v>31.939323724838008</v>
      </c>
      <c r="AK35" s="112">
        <f t="shared" ca="1" si="69"/>
        <v>354.6464075356896</v>
      </c>
      <c r="AL35" s="255"/>
      <c r="AM35" s="112">
        <f t="shared" si="4"/>
        <v>66.150000000000006</v>
      </c>
      <c r="AN35" s="112">
        <f t="shared" si="5"/>
        <v>31.8</v>
      </c>
      <c r="AO35" s="112">
        <f t="shared" si="6"/>
        <v>-2.98</v>
      </c>
      <c r="AP35" s="112">
        <f t="shared" si="7"/>
        <v>31.939323724838008</v>
      </c>
      <c r="AQ35" s="112">
        <f t="shared" si="70"/>
        <v>354.6464075356896</v>
      </c>
      <c r="AR35" s="255"/>
      <c r="AS35" s="112">
        <f t="shared" ca="1" si="8"/>
        <v>0</v>
      </c>
      <c r="AT35" s="112">
        <f t="shared" ca="1" si="9"/>
        <v>0</v>
      </c>
      <c r="AU35" s="112">
        <f t="shared" ca="1" si="10"/>
        <v>0</v>
      </c>
      <c r="AV35" s="112">
        <f t="shared" ca="1" si="11"/>
        <v>0</v>
      </c>
      <c r="AW35" s="112">
        <f t="shared" ca="1" si="83"/>
        <v>0</v>
      </c>
      <c r="AX35" s="109">
        <f t="shared" ca="1" si="13"/>
        <v>0</v>
      </c>
      <c r="AY35" s="112">
        <f t="shared" si="14"/>
        <v>1.250489896991877</v>
      </c>
      <c r="AZ35" s="112">
        <f t="shared" si="15"/>
        <v>2.0746338608318902</v>
      </c>
      <c r="BA35" s="112">
        <f t="shared" si="16"/>
        <v>1.4686423526206973</v>
      </c>
      <c r="BB35" s="112">
        <f t="shared" si="17"/>
        <v>0.70763782762412686</v>
      </c>
      <c r="BC35" s="112">
        <f t="shared" si="18"/>
        <v>0.99908835335180313</v>
      </c>
      <c r="BD35" s="112">
        <f t="shared" ca="1" si="19"/>
        <v>66.150000000000006</v>
      </c>
      <c r="BE35" s="112">
        <f t="shared" si="20"/>
        <v>31.939323724838008</v>
      </c>
      <c r="BF35" s="112">
        <f t="shared" ca="1" si="21"/>
        <v>31.939323724838008</v>
      </c>
      <c r="BG35" s="112">
        <f t="shared" ca="1" si="22"/>
        <v>31.939323724838008</v>
      </c>
      <c r="BH35" s="112">
        <f t="shared" ca="1" si="23"/>
        <v>3.9714917475575096E-2</v>
      </c>
      <c r="BI35" s="112">
        <f t="shared" ca="1" si="24"/>
        <v>33.062934375723287</v>
      </c>
      <c r="BJ35" s="112">
        <f t="shared" ca="1" si="25"/>
        <v>33.062934375723287</v>
      </c>
      <c r="BK35" s="112">
        <f t="shared" ca="1" si="26"/>
        <v>33.196958136753807</v>
      </c>
      <c r="BL35" s="112">
        <f t="shared" ca="1" si="27"/>
        <v>33.196958136753807</v>
      </c>
      <c r="BM35" s="112">
        <f t="shared" ca="1" si="28"/>
        <v>33.196958136753807</v>
      </c>
      <c r="BN35" s="112">
        <f t="shared" ca="1" si="29"/>
        <v>354.84978207672594</v>
      </c>
      <c r="BO35" s="112">
        <f t="shared" ca="1" si="30"/>
        <v>354.84978207672594</v>
      </c>
      <c r="BP35" s="112">
        <f t="shared" ca="1" si="31"/>
        <v>354.84978207672594</v>
      </c>
      <c r="BQ35" s="112">
        <f t="shared" ca="1" si="32"/>
        <v>1.3904983598078202</v>
      </c>
      <c r="BR35" s="112">
        <f t="shared" ca="1" si="33"/>
        <v>0</v>
      </c>
      <c r="BS35" s="112">
        <f t="shared" ca="1" si="34"/>
        <v>0</v>
      </c>
      <c r="BT35" s="112">
        <f t="shared" ca="1" si="35"/>
        <v>0</v>
      </c>
      <c r="BU35" s="112">
        <f t="shared" ca="1" si="36"/>
        <v>0</v>
      </c>
      <c r="BV35" s="112">
        <f t="shared" ca="1" si="37"/>
        <v>1.2334642363199415</v>
      </c>
      <c r="BW35" s="112">
        <f t="shared" ca="1" si="38"/>
        <v>2.4938631161539213</v>
      </c>
      <c r="BX35" s="112">
        <f t="shared" ca="1" si="39"/>
        <v>1.6924047375964757</v>
      </c>
      <c r="BY35" s="112">
        <f t="shared" ca="1" si="40"/>
        <v>1.1133487263895242E-3</v>
      </c>
      <c r="BZ35" s="112">
        <f t="shared" ca="1" si="41"/>
        <v>1.8753360557686414</v>
      </c>
      <c r="CA35" s="112">
        <f t="shared" ca="1" si="42"/>
        <v>-7.2881563928807835E-5</v>
      </c>
      <c r="CB35" s="112">
        <v>1</v>
      </c>
      <c r="CC35" s="112">
        <v>1</v>
      </c>
      <c r="CD35" s="112">
        <v>1</v>
      </c>
      <c r="CE35" s="112">
        <v>1</v>
      </c>
      <c r="CF35" s="109">
        <f t="shared" ca="1" si="43"/>
        <v>2.4372695676177103</v>
      </c>
      <c r="CG35" s="112">
        <f t="shared" ca="1" si="44"/>
        <v>1.47908985587257</v>
      </c>
      <c r="CH35" s="255"/>
      <c r="CI35" s="150" t="str">
        <f t="shared" ca="1" si="45"/>
        <v>C0M50Y0K0</v>
      </c>
      <c r="CJ35" s="125">
        <f t="shared" ca="1" si="46"/>
        <v>0</v>
      </c>
      <c r="CK35" s="125">
        <f t="shared" ca="1" si="47"/>
        <v>0</v>
      </c>
      <c r="CL35" s="125">
        <f t="shared" ca="1" si="48"/>
        <v>0</v>
      </c>
      <c r="CM35" s="124">
        <f t="shared" ca="1" si="49"/>
        <v>0</v>
      </c>
      <c r="CN35" s="112">
        <f t="shared" ca="1" si="50"/>
        <v>0</v>
      </c>
      <c r="CO35" s="112">
        <f t="shared" ca="1" si="51"/>
        <v>0</v>
      </c>
      <c r="CP35" s="112">
        <f t="shared" ca="1" si="52"/>
        <v>0</v>
      </c>
      <c r="CQ35" s="112" t="str">
        <f t="shared" ca="1" si="71"/>
        <v/>
      </c>
      <c r="CR35" s="112" t="str">
        <f t="shared" ca="1" si="72"/>
        <v/>
      </c>
      <c r="CS35" s="112" t="str">
        <f t="shared" ca="1" si="73"/>
        <v/>
      </c>
      <c r="CT35" s="112" t="str">
        <f t="shared" ca="1" si="74"/>
        <v/>
      </c>
      <c r="CU35" s="112" t="str">
        <f t="shared" ca="1" si="75"/>
        <v/>
      </c>
      <c r="CV35" s="112" t="str">
        <f t="shared" ca="1" si="76"/>
        <v/>
      </c>
      <c r="CW35" s="112" t="str">
        <f t="shared" ca="1" si="53"/>
        <v/>
      </c>
      <c r="CX35" s="112" t="str">
        <f t="shared" ca="1" si="77"/>
        <v/>
      </c>
      <c r="CY35" s="112" t="str">
        <f t="shared" ca="1" si="54"/>
        <v/>
      </c>
      <c r="CZ35" s="112" t="str">
        <f t="shared" ca="1" si="78"/>
        <v/>
      </c>
      <c r="DA35" s="112" t="str">
        <f t="shared" ca="1" si="55"/>
        <v/>
      </c>
      <c r="DB35" s="112" t="str">
        <f t="shared" ca="1" si="56"/>
        <v/>
      </c>
      <c r="DC35" s="112" t="str">
        <f t="shared" ca="1" si="57"/>
        <v/>
      </c>
      <c r="DD35" s="112" t="str">
        <f t="shared" ca="1" si="58"/>
        <v/>
      </c>
      <c r="DE35" s="112" t="str">
        <f t="shared" ca="1" si="59"/>
        <v/>
      </c>
      <c r="DF35" s="112" t="str">
        <f t="shared" ca="1" si="60"/>
        <v/>
      </c>
      <c r="DG35" s="125" t="str">
        <f t="shared" ca="1" si="61"/>
        <v>-</v>
      </c>
      <c r="DH35" s="125">
        <f t="shared" ca="1" si="62"/>
        <v>50</v>
      </c>
      <c r="DI35" s="125" t="str">
        <f t="shared" ca="1" si="63"/>
        <v>-</v>
      </c>
      <c r="DJ35" s="125" t="str">
        <f t="shared" ca="1" si="64"/>
        <v>-</v>
      </c>
      <c r="DK35" s="112">
        <f t="shared" ca="1" si="85"/>
        <v>0.44326555683537294</v>
      </c>
      <c r="DL35" s="112">
        <f t="shared" ca="1" si="86"/>
        <v>0.35518019033619158</v>
      </c>
      <c r="DM35" s="112">
        <f t="shared" ca="1" si="87"/>
        <v>0.31187297905361722</v>
      </c>
      <c r="DN35" s="112">
        <f t="shared" si="88"/>
        <v>0.44326555683537294</v>
      </c>
      <c r="DO35" s="112">
        <f t="shared" si="89"/>
        <v>0.35518019033619158</v>
      </c>
      <c r="DP35" s="112">
        <f t="shared" si="90"/>
        <v>0.31187297905361722</v>
      </c>
      <c r="DQ35" s="112">
        <f t="shared" ca="1" si="79"/>
        <v>66.150000000000006</v>
      </c>
      <c r="DR35" s="112">
        <f t="shared" ca="1" si="67"/>
        <v>31.8</v>
      </c>
      <c r="DS35" s="112">
        <f t="shared" ca="1" si="68"/>
        <v>-2.98</v>
      </c>
      <c r="DT35" s="112">
        <f t="shared" si="80"/>
        <v>66.150000000000006</v>
      </c>
      <c r="DU35" s="112">
        <f t="shared" si="81"/>
        <v>31.8</v>
      </c>
      <c r="DV35" s="112">
        <f t="shared" si="82"/>
        <v>-2.98</v>
      </c>
      <c r="DW35" s="260"/>
      <c r="DX35" s="168"/>
      <c r="DY35" s="168"/>
    </row>
    <row r="36" spans="1:129" s="151" customFormat="1" ht="14" customHeight="1">
      <c r="A36" s="158"/>
      <c r="B36" s="143">
        <f t="shared" ref="B36:B67" ca="1" si="93">IFERROR(IF(INDEX(INDIRECT("CMYK_"&amp;VLOOKUP($B$31,$AI$2:$AJ$4,2,FALSE)),$AJ105,AG$103)=0,"-",INDEX(INDIRECT("CMYK_"&amp;VLOOKUP($B$31,$AI$2:$AJ$4,2,FALSE)),$AJ105,AG$103)),"-")</f>
        <v>100</v>
      </c>
      <c r="C36" s="144" t="str">
        <f t="shared" ref="C36:C67" ca="1" si="94">IFERROR(IF(INDEX(INDIRECT("CMYK_"&amp;VLOOKUP($B$31,$AI$2:$AJ$4,2,FALSE)),$AJ105,AH$103)=0,"-",INDEX(INDIRECT("CMYK_"&amp;VLOOKUP($B$31,$AI$2:$AJ$4,2,FALSE)),$AJ105,AH$103)),"-")</f>
        <v>-</v>
      </c>
      <c r="D36" s="145" t="str">
        <f t="shared" ref="D36:D67" ca="1" si="95">IFERROR(IF(INDEX(INDIRECT("CMYK_"&amp;VLOOKUP($B$31,$AI$2:$AJ$4,2,FALSE)),$AJ105,AI$103)=0,"-",INDEX(INDIRECT("CMYK_"&amp;VLOOKUP($B$31,$AI$2:$AJ$4,2,FALSE)),$AJ105,AI$103)),"-")</f>
        <v>-</v>
      </c>
      <c r="E36" s="146" t="str">
        <f t="shared" ref="E36:E67" ca="1" si="96">IFERROR(IF(INDEX(INDIRECT("CMYK_"&amp;VLOOKUP($B$31,$AI$2:$AJ$4,2,FALSE)),$AJ105,AJ$103)=0,"-",INDEX(INDIRECT("CMYK_"&amp;VLOOKUP($B$31,$AI$2:$AJ$4,2,FALSE)),$AJ105,AJ$103)),"-")</f>
        <v>-</v>
      </c>
      <c r="F36" s="184"/>
      <c r="G36" s="195"/>
      <c r="H36" s="236">
        <v>57</v>
      </c>
      <c r="I36" s="237">
        <v>-28</v>
      </c>
      <c r="J36" s="238">
        <v>-34</v>
      </c>
      <c r="K36" s="181"/>
      <c r="L36" s="213">
        <f t="shared" ref="L36:L67" ca="1" si="97">IFERROR(IF(OR($H$31="M1 - SCCA OFF",$H$31="M0 - SCCA OFF"),AG105,BE105),"")</f>
        <v>57</v>
      </c>
      <c r="M36" s="100">
        <f t="shared" ref="M36:M67" ca="1" si="98">IFERROR(IF(OR($H$31="M1 - SCCA OFF",$H$31="M0 - SCCA OFF"),AH105,BF105),"")</f>
        <v>-28</v>
      </c>
      <c r="N36" s="214">
        <f t="shared" ref="N36:N67" ca="1" si="99">IFERROR(IF(OR($H$31="M1 - SCCA OFF",$H$31="M0 - SCCA OFF"),AI105,BG105),"")</f>
        <v>-34</v>
      </c>
      <c r="O36" s="21"/>
      <c r="P36" s="147">
        <f t="shared" ref="P36:P67" ca="1" si="100">IFERROR(CP14,"")</f>
        <v>0</v>
      </c>
      <c r="Q36" s="215"/>
      <c r="R36" s="297">
        <f t="shared" ref="R36:R67" ca="1" si="101">IFERROR(CO14,"")</f>
        <v>0</v>
      </c>
      <c r="S36" s="298"/>
      <c r="T36" s="148"/>
      <c r="U36" s="293">
        <f t="shared" ref="U36:U67" ca="1" si="102">IFERROR(CN14,"")</f>
        <v>0</v>
      </c>
      <c r="V36" s="294"/>
      <c r="W36" s="20"/>
      <c r="X36" s="293">
        <f t="shared" ref="X36:X67" ca="1" si="103">IFERROR(CM14,"")</f>
        <v>0</v>
      </c>
      <c r="Y36" s="294"/>
      <c r="Z36" s="215"/>
      <c r="AA36" s="215"/>
      <c r="AB36" s="215"/>
      <c r="AC36" s="94"/>
      <c r="AD36" s="94"/>
      <c r="AE36" s="149"/>
      <c r="AF36" s="149"/>
      <c r="AG36" s="112">
        <f t="shared" ca="1" si="0"/>
        <v>56.66</v>
      </c>
      <c r="AH36" s="112">
        <f t="shared" ca="1" si="1"/>
        <v>44.43</v>
      </c>
      <c r="AI36" s="112">
        <f t="shared" ca="1" si="2"/>
        <v>29.05</v>
      </c>
      <c r="AJ36" s="112">
        <f t="shared" ca="1" si="3"/>
        <v>53.084153944468213</v>
      </c>
      <c r="AK36" s="112">
        <f t="shared" ca="1" si="69"/>
        <v>33.178164207984878</v>
      </c>
      <c r="AL36" s="255"/>
      <c r="AM36" s="112">
        <f t="shared" si="4"/>
        <v>56.66</v>
      </c>
      <c r="AN36" s="112">
        <f t="shared" si="5"/>
        <v>44.43</v>
      </c>
      <c r="AO36" s="112">
        <f t="shared" si="6"/>
        <v>29.05</v>
      </c>
      <c r="AP36" s="112">
        <f t="shared" si="7"/>
        <v>53.084153944468213</v>
      </c>
      <c r="AQ36" s="112">
        <f t="shared" si="70"/>
        <v>33.178164207984878</v>
      </c>
      <c r="AR36" s="255"/>
      <c r="AS36" s="112">
        <f t="shared" ca="1" si="8"/>
        <v>0</v>
      </c>
      <c r="AT36" s="112">
        <f t="shared" ca="1" si="9"/>
        <v>0</v>
      </c>
      <c r="AU36" s="112">
        <f t="shared" ca="1" si="10"/>
        <v>0</v>
      </c>
      <c r="AV36" s="112">
        <f t="shared" ca="1" si="11"/>
        <v>0</v>
      </c>
      <c r="AW36" s="112">
        <f t="shared" ca="1" si="83"/>
        <v>0</v>
      </c>
      <c r="AX36" s="109">
        <f t="shared" ca="1" si="13"/>
        <v>0</v>
      </c>
      <c r="AY36" s="112">
        <f t="shared" si="14"/>
        <v>1.160793310563891</v>
      </c>
      <c r="AZ36" s="112">
        <f t="shared" si="15"/>
        <v>2.6356195553053912</v>
      </c>
      <c r="BA36" s="112">
        <f t="shared" si="16"/>
        <v>1.3408646817391858</v>
      </c>
      <c r="BB36" s="112">
        <f t="shared" si="17"/>
        <v>0.50868866420969527</v>
      </c>
      <c r="BC36" s="112">
        <f t="shared" si="18"/>
        <v>0.99988038488070807</v>
      </c>
      <c r="BD36" s="112">
        <f t="shared" ca="1" si="19"/>
        <v>56.66</v>
      </c>
      <c r="BE36" s="112">
        <f t="shared" si="20"/>
        <v>53.084153944468213</v>
      </c>
      <c r="BF36" s="112">
        <f t="shared" ca="1" si="21"/>
        <v>53.084153944468213</v>
      </c>
      <c r="BG36" s="112">
        <f t="shared" ca="1" si="22"/>
        <v>53.084153944468213</v>
      </c>
      <c r="BH36" s="112">
        <f t="shared" ca="1" si="23"/>
        <v>1.2796642071083442E-3</v>
      </c>
      <c r="BI36" s="112">
        <f t="shared" ca="1" si="24"/>
        <v>44.486855480721822</v>
      </c>
      <c r="BJ36" s="112">
        <f t="shared" ca="1" si="25"/>
        <v>44.486855480721822</v>
      </c>
      <c r="BK36" s="112">
        <f t="shared" ca="1" si="26"/>
        <v>53.131749552999189</v>
      </c>
      <c r="BL36" s="112">
        <f t="shared" ca="1" si="27"/>
        <v>53.131749552999189</v>
      </c>
      <c r="BM36" s="112">
        <f t="shared" ca="1" si="28"/>
        <v>53.131749552999189</v>
      </c>
      <c r="BN36" s="112">
        <f t="shared" ca="1" si="29"/>
        <v>33.144611922139795</v>
      </c>
      <c r="BO36" s="112">
        <f t="shared" ca="1" si="30"/>
        <v>33.144611922139795</v>
      </c>
      <c r="BP36" s="112">
        <f t="shared" ca="1" si="31"/>
        <v>33.144611922139795</v>
      </c>
      <c r="BQ36" s="112">
        <f t="shared" ca="1" si="32"/>
        <v>0.77181972236019258</v>
      </c>
      <c r="BR36" s="112">
        <f t="shared" ca="1" si="33"/>
        <v>0</v>
      </c>
      <c r="BS36" s="112">
        <f t="shared" ca="1" si="34"/>
        <v>0</v>
      </c>
      <c r="BT36" s="112">
        <f t="shared" ca="1" si="35"/>
        <v>0</v>
      </c>
      <c r="BU36" s="112">
        <f t="shared" ca="1" si="36"/>
        <v>0</v>
      </c>
      <c r="BV36" s="112">
        <f t="shared" ca="1" si="37"/>
        <v>1.0829366607549551</v>
      </c>
      <c r="BW36" s="112">
        <f t="shared" ca="1" si="38"/>
        <v>3.3909287298849633</v>
      </c>
      <c r="BX36" s="112">
        <f t="shared" ca="1" si="39"/>
        <v>1.6151219828276067</v>
      </c>
      <c r="BY36" s="112">
        <f t="shared" ca="1" si="40"/>
        <v>6.7812070274599247E-40</v>
      </c>
      <c r="BZ36" s="112">
        <f t="shared" ca="1" si="41"/>
        <v>1.9949132321970435</v>
      </c>
      <c r="CA36" s="112">
        <f t="shared" ca="1" si="42"/>
        <v>-4.7221347695456547E-41</v>
      </c>
      <c r="CB36" s="112">
        <v>1</v>
      </c>
      <c r="CC36" s="112">
        <v>1</v>
      </c>
      <c r="CD36" s="112">
        <v>1</v>
      </c>
      <c r="CE36" s="112">
        <v>1</v>
      </c>
      <c r="CF36" s="109">
        <f t="shared" ca="1" si="43"/>
        <v>3.3887869275010694</v>
      </c>
      <c r="CG36" s="112">
        <f t="shared" ca="1" si="44"/>
        <v>1.7962623091670231</v>
      </c>
      <c r="CH36" s="255"/>
      <c r="CI36" s="150" t="str">
        <f t="shared" ca="1" si="45"/>
        <v>C0M75Y75K0</v>
      </c>
      <c r="CJ36" s="125">
        <f t="shared" ca="1" si="46"/>
        <v>0</v>
      </c>
      <c r="CK36" s="125">
        <f t="shared" ca="1" si="47"/>
        <v>0</v>
      </c>
      <c r="CL36" s="125">
        <f t="shared" ca="1" si="48"/>
        <v>0</v>
      </c>
      <c r="CM36" s="124">
        <f t="shared" ca="1" si="49"/>
        <v>0</v>
      </c>
      <c r="CN36" s="112">
        <f t="shared" ca="1" si="50"/>
        <v>0</v>
      </c>
      <c r="CO36" s="112">
        <f t="shared" ca="1" si="51"/>
        <v>0</v>
      </c>
      <c r="CP36" s="112">
        <f t="shared" ca="1" si="52"/>
        <v>0</v>
      </c>
      <c r="CQ36" s="112" t="str">
        <f t="shared" ca="1" si="71"/>
        <v/>
      </c>
      <c r="CR36" s="112" t="str">
        <f t="shared" ca="1" si="72"/>
        <v/>
      </c>
      <c r="CS36" s="112" t="str">
        <f t="shared" ca="1" si="73"/>
        <v/>
      </c>
      <c r="CT36" s="112" t="str">
        <f t="shared" ca="1" si="74"/>
        <v/>
      </c>
      <c r="CU36" s="112" t="str">
        <f t="shared" ca="1" si="75"/>
        <v/>
      </c>
      <c r="CV36" s="112" t="str">
        <f t="shared" ca="1" si="76"/>
        <v/>
      </c>
      <c r="CW36" s="112" t="str">
        <f t="shared" ca="1" si="53"/>
        <v/>
      </c>
      <c r="CX36" s="112" t="str">
        <f t="shared" ca="1" si="77"/>
        <v/>
      </c>
      <c r="CY36" s="112" t="str">
        <f t="shared" ca="1" si="54"/>
        <v/>
      </c>
      <c r="CZ36" s="112" t="str">
        <f t="shared" ca="1" si="78"/>
        <v/>
      </c>
      <c r="DA36" s="112" t="str">
        <f t="shared" ca="1" si="55"/>
        <v/>
      </c>
      <c r="DB36" s="112" t="str">
        <f t="shared" ca="1" si="56"/>
        <v/>
      </c>
      <c r="DC36" s="112" t="str">
        <f t="shared" ca="1" si="57"/>
        <v/>
      </c>
      <c r="DD36" s="112" t="str">
        <f t="shared" ca="1" si="58"/>
        <v/>
      </c>
      <c r="DE36" s="112" t="str">
        <f t="shared" ca="1" si="59"/>
        <v/>
      </c>
      <c r="DF36" s="112" t="str">
        <f t="shared" ca="1" si="60"/>
        <v/>
      </c>
      <c r="DG36" s="125" t="str">
        <f t="shared" ca="1" si="61"/>
        <v>-</v>
      </c>
      <c r="DH36" s="125">
        <f t="shared" ca="1" si="62"/>
        <v>75</v>
      </c>
      <c r="DI36" s="125">
        <f t="shared" ca="1" si="63"/>
        <v>75</v>
      </c>
      <c r="DJ36" s="125" t="str">
        <f t="shared" ca="1" si="64"/>
        <v>-</v>
      </c>
      <c r="DK36" s="112">
        <f t="shared" ca="1" si="85"/>
        <v>0.35279405195679842</v>
      </c>
      <c r="DL36" s="112">
        <f t="shared" ca="1" si="86"/>
        <v>0.24576057411640484</v>
      </c>
      <c r="DM36" s="112">
        <f t="shared" ca="1" si="87"/>
        <v>9.1872756783645648E-2</v>
      </c>
      <c r="DN36" s="112">
        <f t="shared" si="88"/>
        <v>0.35279405195679842</v>
      </c>
      <c r="DO36" s="112">
        <f t="shared" si="89"/>
        <v>0.24576057411640484</v>
      </c>
      <c r="DP36" s="112">
        <f t="shared" si="90"/>
        <v>9.1872756783645648E-2</v>
      </c>
      <c r="DQ36" s="112">
        <f t="shared" ca="1" si="79"/>
        <v>56.66</v>
      </c>
      <c r="DR36" s="112">
        <f t="shared" ca="1" si="67"/>
        <v>44.43</v>
      </c>
      <c r="DS36" s="112">
        <f t="shared" ca="1" si="68"/>
        <v>29.05</v>
      </c>
      <c r="DT36" s="112">
        <f t="shared" si="80"/>
        <v>56.66</v>
      </c>
      <c r="DU36" s="112">
        <f t="shared" si="81"/>
        <v>44.43</v>
      </c>
      <c r="DV36" s="112">
        <f t="shared" si="82"/>
        <v>29.05</v>
      </c>
      <c r="DW36" s="260"/>
      <c r="DX36" s="168"/>
      <c r="DY36" s="168"/>
    </row>
    <row r="37" spans="1:129" s="151" customFormat="1" ht="14" customHeight="1">
      <c r="A37" s="158"/>
      <c r="B37" s="153">
        <f t="shared" ca="1" si="93"/>
        <v>100</v>
      </c>
      <c r="C37" s="154">
        <f t="shared" ca="1" si="94"/>
        <v>100</v>
      </c>
      <c r="D37" s="155" t="str">
        <f t="shared" ca="1" si="95"/>
        <v>-</v>
      </c>
      <c r="E37" s="156">
        <f t="shared" ca="1" si="96"/>
        <v>80</v>
      </c>
      <c r="F37" s="184"/>
      <c r="G37" s="195"/>
      <c r="H37" s="239">
        <v>24.71</v>
      </c>
      <c r="I37" s="240">
        <v>6.96</v>
      </c>
      <c r="J37" s="241">
        <v>-8.49</v>
      </c>
      <c r="K37" s="181"/>
      <c r="L37" s="204">
        <f t="shared" ca="1" si="97"/>
        <v>24.71</v>
      </c>
      <c r="M37" s="95">
        <f t="shared" ca="1" si="98"/>
        <v>6.96</v>
      </c>
      <c r="N37" s="205">
        <f t="shared" ca="1" si="99"/>
        <v>-8.49</v>
      </c>
      <c r="O37" s="21"/>
      <c r="P37" s="157">
        <f t="shared" ca="1" si="100"/>
        <v>0</v>
      </c>
      <c r="Q37" s="215"/>
      <c r="R37" s="289">
        <f t="shared" ca="1" si="101"/>
        <v>0</v>
      </c>
      <c r="S37" s="290"/>
      <c r="T37" s="148"/>
      <c r="U37" s="291">
        <f t="shared" ca="1" si="102"/>
        <v>0</v>
      </c>
      <c r="V37" s="292"/>
      <c r="W37" s="22"/>
      <c r="X37" s="291">
        <f t="shared" ca="1" si="103"/>
        <v>0</v>
      </c>
      <c r="Y37" s="292"/>
      <c r="Z37" s="215"/>
      <c r="AA37" s="215"/>
      <c r="AB37" s="215"/>
      <c r="AC37" s="94"/>
      <c r="AD37" s="94"/>
      <c r="AE37" s="149"/>
      <c r="AF37" s="149"/>
      <c r="AG37" s="112">
        <f t="shared" ca="1" si="0"/>
        <v>40.83</v>
      </c>
      <c r="AH37" s="112">
        <f t="shared" ca="1" si="1"/>
        <v>-27.24</v>
      </c>
      <c r="AI37" s="112">
        <f t="shared" ca="1" si="2"/>
        <v>11.4</v>
      </c>
      <c r="AJ37" s="112">
        <f t="shared" ca="1" si="3"/>
        <v>29.5292668381726</v>
      </c>
      <c r="AK37" s="112">
        <f t="shared" ca="1" si="69"/>
        <v>157.29058248419375</v>
      </c>
      <c r="AL37" s="255"/>
      <c r="AM37" s="112">
        <f t="shared" si="4"/>
        <v>40.83</v>
      </c>
      <c r="AN37" s="112">
        <f t="shared" si="5"/>
        <v>-27.24</v>
      </c>
      <c r="AO37" s="112">
        <f t="shared" si="6"/>
        <v>11.4</v>
      </c>
      <c r="AP37" s="112">
        <f t="shared" si="7"/>
        <v>29.5292668381726</v>
      </c>
      <c r="AQ37" s="112">
        <f t="shared" si="70"/>
        <v>157.29058248419375</v>
      </c>
      <c r="AR37" s="255"/>
      <c r="AS37" s="112">
        <f t="shared" ca="1" si="8"/>
        <v>0</v>
      </c>
      <c r="AT37" s="112">
        <f t="shared" ca="1" si="9"/>
        <v>0</v>
      </c>
      <c r="AU37" s="112">
        <f t="shared" ca="1" si="10"/>
        <v>0</v>
      </c>
      <c r="AV37" s="112">
        <f t="shared" ca="1" si="11"/>
        <v>0</v>
      </c>
      <c r="AW37" s="112">
        <f t="shared" ca="1" si="83"/>
        <v>0</v>
      </c>
      <c r="AX37" s="109">
        <f t="shared" ca="1" si="13"/>
        <v>0</v>
      </c>
      <c r="AY37" s="112">
        <f t="shared" si="14"/>
        <v>0.97231263543214341</v>
      </c>
      <c r="AZ37" s="112">
        <f t="shared" si="15"/>
        <v>1.9964668715649281</v>
      </c>
      <c r="BA37" s="112">
        <f t="shared" si="16"/>
        <v>1.4996320488321413</v>
      </c>
      <c r="BB37" s="112">
        <f t="shared" si="17"/>
        <v>0.75083223053186487</v>
      </c>
      <c r="BC37" s="112">
        <f t="shared" si="18"/>
        <v>0.99875290382820814</v>
      </c>
      <c r="BD37" s="112">
        <f t="shared" ca="1" si="19"/>
        <v>40.83</v>
      </c>
      <c r="BE37" s="112">
        <f t="shared" si="20"/>
        <v>29.5292668381726</v>
      </c>
      <c r="BF37" s="112">
        <f t="shared" ca="1" si="21"/>
        <v>29.5292668381726</v>
      </c>
      <c r="BG37" s="112">
        <f t="shared" ca="1" si="22"/>
        <v>29.5292668381726</v>
      </c>
      <c r="BH37" s="112">
        <f t="shared" ca="1" si="23"/>
        <v>6.34400612179854E-2</v>
      </c>
      <c r="BI37" s="112">
        <f t="shared" ca="1" si="24"/>
        <v>-28.968107267577917</v>
      </c>
      <c r="BJ37" s="112">
        <f t="shared" ca="1" si="25"/>
        <v>-28.968107267577917</v>
      </c>
      <c r="BK37" s="112">
        <f t="shared" ca="1" si="26"/>
        <v>31.130551531669024</v>
      </c>
      <c r="BL37" s="112">
        <f t="shared" ca="1" si="27"/>
        <v>31.130551531669024</v>
      </c>
      <c r="BM37" s="112">
        <f t="shared" ca="1" si="28"/>
        <v>31.130551531669024</v>
      </c>
      <c r="BN37" s="112">
        <f t="shared" ca="1" si="29"/>
        <v>158.51856434041781</v>
      </c>
      <c r="BO37" s="112">
        <f t="shared" ca="1" si="30"/>
        <v>158.51856434041781</v>
      </c>
      <c r="BP37" s="112">
        <f t="shared" ca="1" si="31"/>
        <v>158.51856434041781</v>
      </c>
      <c r="BQ37" s="112">
        <f t="shared" ca="1" si="32"/>
        <v>1.285336649269444</v>
      </c>
      <c r="BR37" s="112">
        <f t="shared" ca="1" si="33"/>
        <v>0</v>
      </c>
      <c r="BS37" s="112">
        <f t="shared" ca="1" si="34"/>
        <v>0</v>
      </c>
      <c r="BT37" s="112">
        <f t="shared" ca="1" si="35"/>
        <v>0</v>
      </c>
      <c r="BU37" s="112">
        <f t="shared" ca="1" si="36"/>
        <v>0</v>
      </c>
      <c r="BV37" s="112">
        <f t="shared" ca="1" si="37"/>
        <v>1.1236310964513045</v>
      </c>
      <c r="BW37" s="112">
        <f t="shared" ca="1" si="38"/>
        <v>2.4008748189251063</v>
      </c>
      <c r="BX37" s="112">
        <f t="shared" ca="1" si="39"/>
        <v>1.6001985819343783</v>
      </c>
      <c r="BY37" s="112">
        <f t="shared" ca="1" si="40"/>
        <v>1.1198540455106265E-8</v>
      </c>
      <c r="BZ37" s="112">
        <f t="shared" ca="1" si="41"/>
        <v>1.8141283802538868</v>
      </c>
      <c r="CA37" s="112">
        <f t="shared" ca="1" si="42"/>
        <v>-7.0914787196117658E-10</v>
      </c>
      <c r="CB37" s="112">
        <v>1</v>
      </c>
      <c r="CC37" s="112">
        <v>1</v>
      </c>
      <c r="CD37" s="112">
        <v>1</v>
      </c>
      <c r="CE37" s="112">
        <v>1</v>
      </c>
      <c r="CF37" s="109">
        <f t="shared" ca="1" si="43"/>
        <v>2.3288170077177668</v>
      </c>
      <c r="CG37" s="112">
        <f t="shared" ca="1" si="44"/>
        <v>1.442939002572589</v>
      </c>
      <c r="CH37" s="255"/>
      <c r="CI37" s="150" t="str">
        <f t="shared" ca="1" si="45"/>
        <v>C100M0Y100K40</v>
      </c>
      <c r="CJ37" s="125">
        <f t="shared" ca="1" si="46"/>
        <v>0</v>
      </c>
      <c r="CK37" s="125">
        <f t="shared" ca="1" si="47"/>
        <v>0</v>
      </c>
      <c r="CL37" s="125">
        <f t="shared" ca="1" si="48"/>
        <v>0</v>
      </c>
      <c r="CM37" s="124">
        <f t="shared" ca="1" si="49"/>
        <v>0</v>
      </c>
      <c r="CN37" s="112">
        <f t="shared" ca="1" si="50"/>
        <v>0</v>
      </c>
      <c r="CO37" s="112">
        <f t="shared" ca="1" si="51"/>
        <v>0</v>
      </c>
      <c r="CP37" s="112">
        <f t="shared" ca="1" si="52"/>
        <v>0</v>
      </c>
      <c r="CQ37" s="112" t="str">
        <f t="shared" ca="1" si="71"/>
        <v/>
      </c>
      <c r="CR37" s="112" t="str">
        <f t="shared" ca="1" si="72"/>
        <v/>
      </c>
      <c r="CS37" s="112" t="str">
        <f t="shared" ca="1" si="73"/>
        <v/>
      </c>
      <c r="CT37" s="112" t="str">
        <f t="shared" ca="1" si="74"/>
        <v/>
      </c>
      <c r="CU37" s="112" t="str">
        <f t="shared" ca="1" si="75"/>
        <v/>
      </c>
      <c r="CV37" s="112" t="str">
        <f t="shared" ca="1" si="76"/>
        <v/>
      </c>
      <c r="CW37" s="112" t="str">
        <f t="shared" ca="1" si="53"/>
        <v/>
      </c>
      <c r="CX37" s="112" t="str">
        <f t="shared" ca="1" si="77"/>
        <v/>
      </c>
      <c r="CY37" s="112" t="str">
        <f t="shared" ca="1" si="54"/>
        <v/>
      </c>
      <c r="CZ37" s="112" t="str">
        <f t="shared" ca="1" si="78"/>
        <v/>
      </c>
      <c r="DA37" s="112" t="str">
        <f t="shared" ca="1" si="55"/>
        <v/>
      </c>
      <c r="DB37" s="112" t="str">
        <f t="shared" ca="1" si="56"/>
        <v/>
      </c>
      <c r="DC37" s="112" t="str">
        <f t="shared" ca="1" si="57"/>
        <v/>
      </c>
      <c r="DD37" s="112" t="str">
        <f t="shared" ca="1" si="58"/>
        <v/>
      </c>
      <c r="DE37" s="112" t="str">
        <f t="shared" ca="1" si="59"/>
        <v/>
      </c>
      <c r="DF37" s="112" t="str">
        <f t="shared" ca="1" si="60"/>
        <v/>
      </c>
      <c r="DG37" s="125">
        <f t="shared" ca="1" si="61"/>
        <v>100</v>
      </c>
      <c r="DH37" s="125" t="str">
        <f t="shared" ca="1" si="62"/>
        <v>-</v>
      </c>
      <c r="DI37" s="125">
        <f t="shared" ca="1" si="63"/>
        <v>100</v>
      </c>
      <c r="DJ37" s="125">
        <f t="shared" ca="1" si="64"/>
        <v>40</v>
      </c>
      <c r="DK37" s="112">
        <f t="shared" ca="1" si="85"/>
        <v>7.960374855726729E-2</v>
      </c>
      <c r="DL37" s="112">
        <f t="shared" ca="1" si="86"/>
        <v>0.11758691609626776</v>
      </c>
      <c r="DM37" s="112">
        <f t="shared" ca="1" si="87"/>
        <v>6.6927649522002322E-2</v>
      </c>
      <c r="DN37" s="112">
        <f t="shared" si="88"/>
        <v>7.960374855726729E-2</v>
      </c>
      <c r="DO37" s="112">
        <f t="shared" si="89"/>
        <v>0.11758691609626776</v>
      </c>
      <c r="DP37" s="112">
        <f t="shared" si="90"/>
        <v>6.6927649522002322E-2</v>
      </c>
      <c r="DQ37" s="112">
        <f t="shared" ca="1" si="79"/>
        <v>40.83</v>
      </c>
      <c r="DR37" s="112">
        <f t="shared" ca="1" si="67"/>
        <v>-27.24</v>
      </c>
      <c r="DS37" s="112">
        <f t="shared" ca="1" si="68"/>
        <v>11.4</v>
      </c>
      <c r="DT37" s="112">
        <f t="shared" si="80"/>
        <v>40.83</v>
      </c>
      <c r="DU37" s="112">
        <f t="shared" si="81"/>
        <v>-27.24</v>
      </c>
      <c r="DV37" s="112">
        <f t="shared" si="82"/>
        <v>11.4</v>
      </c>
      <c r="DW37" s="260"/>
      <c r="DX37" s="168"/>
      <c r="DY37" s="168"/>
    </row>
    <row r="38" spans="1:129" s="151" customFormat="1" ht="14" customHeight="1">
      <c r="A38" s="158"/>
      <c r="B38" s="153">
        <f t="shared" ca="1" si="93"/>
        <v>100</v>
      </c>
      <c r="C38" s="154">
        <f t="shared" ca="1" si="94"/>
        <v>70</v>
      </c>
      <c r="D38" s="155" t="str">
        <f t="shared" ca="1" si="95"/>
        <v>-</v>
      </c>
      <c r="E38" s="156">
        <f t="shared" ca="1" si="96"/>
        <v>40</v>
      </c>
      <c r="F38" s="184"/>
      <c r="G38" s="195"/>
      <c r="H38" s="239">
        <v>33.9</v>
      </c>
      <c r="I38" s="240">
        <v>3.81</v>
      </c>
      <c r="J38" s="241">
        <v>-21.64</v>
      </c>
      <c r="K38" s="181"/>
      <c r="L38" s="204">
        <f t="shared" ca="1" si="97"/>
        <v>33.9</v>
      </c>
      <c r="M38" s="95">
        <f t="shared" ca="1" si="98"/>
        <v>3.81</v>
      </c>
      <c r="N38" s="205">
        <f t="shared" ca="1" si="99"/>
        <v>-21.64</v>
      </c>
      <c r="O38" s="21"/>
      <c r="P38" s="157">
        <f t="shared" ca="1" si="100"/>
        <v>0</v>
      </c>
      <c r="Q38" s="215"/>
      <c r="R38" s="289">
        <f t="shared" ca="1" si="101"/>
        <v>0</v>
      </c>
      <c r="S38" s="290"/>
      <c r="T38" s="148"/>
      <c r="U38" s="291">
        <f t="shared" ca="1" si="102"/>
        <v>0</v>
      </c>
      <c r="V38" s="292"/>
      <c r="W38" s="23"/>
      <c r="X38" s="291">
        <f t="shared" ca="1" si="103"/>
        <v>0</v>
      </c>
      <c r="Y38" s="292"/>
      <c r="Z38" s="215"/>
      <c r="AA38" s="215"/>
      <c r="AB38" s="215"/>
      <c r="AC38" s="94"/>
      <c r="AD38" s="94"/>
      <c r="AE38" s="149"/>
      <c r="AF38" s="149"/>
      <c r="AG38" s="112">
        <f t="shared" ca="1" si="0"/>
        <v>75.849999999999994</v>
      </c>
      <c r="AH38" s="112">
        <f t="shared" ca="1" si="1"/>
        <v>16.52</v>
      </c>
      <c r="AI38" s="112">
        <f t="shared" ca="1" si="2"/>
        <v>-0.77</v>
      </c>
      <c r="AJ38" s="112">
        <f t="shared" ca="1" si="3"/>
        <v>16.537935179459375</v>
      </c>
      <c r="AK38" s="112">
        <f t="shared" ca="1" si="69"/>
        <v>357.33136543065575</v>
      </c>
      <c r="AL38" s="255"/>
      <c r="AM38" s="112">
        <f t="shared" si="4"/>
        <v>75.849999999999994</v>
      </c>
      <c r="AN38" s="112">
        <f t="shared" si="5"/>
        <v>16.52</v>
      </c>
      <c r="AO38" s="112">
        <f t="shared" si="6"/>
        <v>-0.77</v>
      </c>
      <c r="AP38" s="112">
        <f t="shared" si="7"/>
        <v>16.537935179459375</v>
      </c>
      <c r="AQ38" s="112">
        <f t="shared" si="70"/>
        <v>357.33136543065575</v>
      </c>
      <c r="AR38" s="255"/>
      <c r="AS38" s="112">
        <f t="shared" ca="1" si="8"/>
        <v>0</v>
      </c>
      <c r="AT38" s="112">
        <f t="shared" ca="1" si="9"/>
        <v>0</v>
      </c>
      <c r="AU38" s="112">
        <f t="shared" ca="1" si="10"/>
        <v>0</v>
      </c>
      <c r="AV38" s="112">
        <f t="shared" ca="1" si="11"/>
        <v>0</v>
      </c>
      <c r="AW38" s="112">
        <f t="shared" ca="1" si="83"/>
        <v>0</v>
      </c>
      <c r="AX38" s="109">
        <f t="shared" ca="1" si="13"/>
        <v>0</v>
      </c>
      <c r="AY38" s="112">
        <f t="shared" si="14"/>
        <v>1.3288938226682814</v>
      </c>
      <c r="AZ38" s="112">
        <f t="shared" si="15"/>
        <v>1.5052361885356811</v>
      </c>
      <c r="BA38" s="112">
        <f t="shared" si="16"/>
        <v>1.0563019516660757</v>
      </c>
      <c r="BB38" s="112">
        <f t="shared" si="17"/>
        <v>0.69798767442263632</v>
      </c>
      <c r="BC38" s="112">
        <f t="shared" si="18"/>
        <v>0.98753707337033392</v>
      </c>
      <c r="BD38" s="112">
        <f t="shared" ca="1" si="19"/>
        <v>75.849999999999994</v>
      </c>
      <c r="BE38" s="112">
        <f t="shared" si="20"/>
        <v>16.537935179459375</v>
      </c>
      <c r="BF38" s="112">
        <f t="shared" ca="1" si="21"/>
        <v>16.537935179459375</v>
      </c>
      <c r="BG38" s="112">
        <f t="shared" ca="1" si="22"/>
        <v>16.537935179459375</v>
      </c>
      <c r="BH38" s="112">
        <f t="shared" ca="1" si="23"/>
        <v>0.38540950419794506</v>
      </c>
      <c r="BI38" s="112">
        <f t="shared" ca="1" si="24"/>
        <v>22.886965009350053</v>
      </c>
      <c r="BJ38" s="112">
        <f t="shared" ca="1" si="25"/>
        <v>22.886965009350053</v>
      </c>
      <c r="BK38" s="112">
        <f t="shared" ca="1" si="26"/>
        <v>22.899914133882984</v>
      </c>
      <c r="BL38" s="112">
        <f t="shared" ca="1" si="27"/>
        <v>22.899914133882984</v>
      </c>
      <c r="BM38" s="112">
        <f t="shared" ca="1" si="28"/>
        <v>22.899914133882984</v>
      </c>
      <c r="BN38" s="112">
        <f t="shared" ca="1" si="29"/>
        <v>358.07309025066877</v>
      </c>
      <c r="BO38" s="112">
        <f t="shared" ca="1" si="30"/>
        <v>358.07309025066877</v>
      </c>
      <c r="BP38" s="112">
        <f t="shared" ca="1" si="31"/>
        <v>358.07309025066877</v>
      </c>
      <c r="BQ38" s="112">
        <f t="shared" ca="1" si="32"/>
        <v>1.3490942723627695</v>
      </c>
      <c r="BR38" s="112">
        <f t="shared" ca="1" si="33"/>
        <v>0</v>
      </c>
      <c r="BS38" s="112">
        <f t="shared" ca="1" si="34"/>
        <v>0</v>
      </c>
      <c r="BT38" s="112">
        <f t="shared" ca="1" si="35"/>
        <v>0</v>
      </c>
      <c r="BU38" s="112">
        <f t="shared" ca="1" si="36"/>
        <v>0</v>
      </c>
      <c r="BV38" s="112">
        <f t="shared" ca="1" si="37"/>
        <v>1.3820743830221818</v>
      </c>
      <c r="BW38" s="112">
        <f t="shared" ca="1" si="38"/>
        <v>2.030496136024734</v>
      </c>
      <c r="BX38" s="112">
        <f t="shared" ca="1" si="39"/>
        <v>1.4634121449343114</v>
      </c>
      <c r="BY38" s="112">
        <f t="shared" ca="1" si="40"/>
        <v>4.8052853925265835E-4</v>
      </c>
      <c r="BZ38" s="112">
        <f t="shared" ca="1" si="41"/>
        <v>1.185077255912</v>
      </c>
      <c r="CA38" s="112">
        <f t="shared" ca="1" si="42"/>
        <v>-1.9878024088256385E-5</v>
      </c>
      <c r="CB38" s="112">
        <v>1</v>
      </c>
      <c r="CC38" s="112">
        <v>1</v>
      </c>
      <c r="CD38" s="112">
        <v>1</v>
      </c>
      <c r="CE38" s="112">
        <v>1</v>
      </c>
      <c r="CF38" s="109">
        <f t="shared" ca="1" si="43"/>
        <v>1.744207083075672</v>
      </c>
      <c r="CG38" s="112">
        <f t="shared" ca="1" si="44"/>
        <v>1.2480690276918907</v>
      </c>
      <c r="CH38" s="255"/>
      <c r="CI38" s="150" t="str">
        <f t="shared" ca="1" si="45"/>
        <v>C0M25Y0K0</v>
      </c>
      <c r="CJ38" s="125">
        <f t="shared" ca="1" si="46"/>
        <v>0</v>
      </c>
      <c r="CK38" s="125">
        <f t="shared" ca="1" si="47"/>
        <v>0</v>
      </c>
      <c r="CL38" s="125">
        <f t="shared" ca="1" si="48"/>
        <v>0</v>
      </c>
      <c r="CM38" s="124">
        <f t="shared" ca="1" si="49"/>
        <v>0</v>
      </c>
      <c r="CN38" s="112">
        <f t="shared" ca="1" si="50"/>
        <v>0</v>
      </c>
      <c r="CO38" s="112">
        <f t="shared" ca="1" si="51"/>
        <v>0</v>
      </c>
      <c r="CP38" s="112">
        <f t="shared" ca="1" si="52"/>
        <v>0</v>
      </c>
      <c r="CQ38" s="112" t="str">
        <f t="shared" ca="1" si="71"/>
        <v/>
      </c>
      <c r="CR38" s="112" t="str">
        <f t="shared" ca="1" si="72"/>
        <v/>
      </c>
      <c r="CS38" s="112" t="str">
        <f t="shared" ca="1" si="73"/>
        <v/>
      </c>
      <c r="CT38" s="112" t="str">
        <f t="shared" ca="1" si="74"/>
        <v/>
      </c>
      <c r="CU38" s="112" t="str">
        <f t="shared" ca="1" si="75"/>
        <v/>
      </c>
      <c r="CV38" s="112" t="str">
        <f t="shared" ca="1" si="76"/>
        <v/>
      </c>
      <c r="CW38" s="112" t="str">
        <f t="shared" ca="1" si="53"/>
        <v/>
      </c>
      <c r="CX38" s="112" t="str">
        <f t="shared" ca="1" si="77"/>
        <v/>
      </c>
      <c r="CY38" s="112" t="str">
        <f t="shared" ca="1" si="54"/>
        <v/>
      </c>
      <c r="CZ38" s="112" t="str">
        <f t="shared" ca="1" si="78"/>
        <v/>
      </c>
      <c r="DA38" s="112" t="str">
        <f t="shared" ca="1" si="55"/>
        <v/>
      </c>
      <c r="DB38" s="112" t="str">
        <f t="shared" ca="1" si="56"/>
        <v/>
      </c>
      <c r="DC38" s="112" t="str">
        <f t="shared" ca="1" si="57"/>
        <v/>
      </c>
      <c r="DD38" s="112" t="str">
        <f t="shared" ca="1" si="58"/>
        <v/>
      </c>
      <c r="DE38" s="112" t="str">
        <f t="shared" ca="1" si="59"/>
        <v/>
      </c>
      <c r="DF38" s="112" t="str">
        <f t="shared" ca="1" si="60"/>
        <v/>
      </c>
      <c r="DG38" s="125" t="str">
        <f t="shared" ca="1" si="61"/>
        <v>-</v>
      </c>
      <c r="DH38" s="125">
        <f t="shared" ca="1" si="62"/>
        <v>25</v>
      </c>
      <c r="DI38" s="125" t="str">
        <f t="shared" ca="1" si="63"/>
        <v>-</v>
      </c>
      <c r="DJ38" s="125" t="str">
        <f t="shared" ca="1" si="64"/>
        <v>-</v>
      </c>
      <c r="DK38" s="112">
        <f t="shared" ca="1" si="85"/>
        <v>0.54111878157605364</v>
      </c>
      <c r="DL38" s="112">
        <f t="shared" ca="1" si="86"/>
        <v>0.49643628186951588</v>
      </c>
      <c r="DM38" s="112">
        <f t="shared" ca="1" si="87"/>
        <v>0.41551283604613537</v>
      </c>
      <c r="DN38" s="112">
        <f t="shared" si="88"/>
        <v>0.54111878157605364</v>
      </c>
      <c r="DO38" s="112">
        <f t="shared" si="89"/>
        <v>0.49643628186951588</v>
      </c>
      <c r="DP38" s="112">
        <f t="shared" si="90"/>
        <v>0.41551283604613537</v>
      </c>
      <c r="DQ38" s="112">
        <f t="shared" ca="1" si="79"/>
        <v>75.849999999999994</v>
      </c>
      <c r="DR38" s="112">
        <f t="shared" ca="1" si="67"/>
        <v>16.52</v>
      </c>
      <c r="DS38" s="112">
        <f t="shared" ca="1" si="68"/>
        <v>-0.77</v>
      </c>
      <c r="DT38" s="112">
        <f t="shared" si="80"/>
        <v>75.849999999999994</v>
      </c>
      <c r="DU38" s="112">
        <f t="shared" si="81"/>
        <v>16.52</v>
      </c>
      <c r="DV38" s="112">
        <f t="shared" si="82"/>
        <v>-0.77</v>
      </c>
      <c r="DW38" s="260"/>
      <c r="DX38" s="168"/>
      <c r="DY38" s="168"/>
    </row>
    <row r="39" spans="1:129" s="151" customFormat="1" ht="14" customHeight="1">
      <c r="A39" s="158"/>
      <c r="B39" s="153">
        <f t="shared" ca="1" si="93"/>
        <v>75</v>
      </c>
      <c r="C39" s="154" t="str">
        <f t="shared" ca="1" si="94"/>
        <v>-</v>
      </c>
      <c r="D39" s="155" t="str">
        <f t="shared" ca="1" si="95"/>
        <v>-</v>
      </c>
      <c r="E39" s="156" t="str">
        <f t="shared" ca="1" si="96"/>
        <v>-</v>
      </c>
      <c r="F39" s="184"/>
      <c r="G39" s="195"/>
      <c r="H39" s="239">
        <v>62.39</v>
      </c>
      <c r="I39" s="240">
        <v>-23.23</v>
      </c>
      <c r="J39" s="241">
        <v>-27.56</v>
      </c>
      <c r="K39" s="181"/>
      <c r="L39" s="204">
        <f t="shared" ca="1" si="97"/>
        <v>62.39</v>
      </c>
      <c r="M39" s="95">
        <f t="shared" ca="1" si="98"/>
        <v>-23.23</v>
      </c>
      <c r="N39" s="205">
        <f t="shared" ca="1" si="99"/>
        <v>-27.56</v>
      </c>
      <c r="O39" s="21"/>
      <c r="P39" s="157">
        <f t="shared" ca="1" si="100"/>
        <v>0</v>
      </c>
      <c r="Q39" s="215"/>
      <c r="R39" s="289">
        <f t="shared" ca="1" si="101"/>
        <v>0</v>
      </c>
      <c r="S39" s="290"/>
      <c r="T39" s="148"/>
      <c r="U39" s="291">
        <f t="shared" ca="1" si="102"/>
        <v>0</v>
      </c>
      <c r="V39" s="292"/>
      <c r="W39" s="23"/>
      <c r="X39" s="291">
        <f t="shared" ca="1" si="103"/>
        <v>0</v>
      </c>
      <c r="Y39" s="292"/>
      <c r="Z39" s="215"/>
      <c r="AA39" s="215"/>
      <c r="AB39" s="215"/>
      <c r="AC39" s="94"/>
      <c r="AD39" s="94"/>
      <c r="AE39" s="149"/>
      <c r="AF39" s="149"/>
      <c r="AG39" s="112">
        <f t="shared" ca="1" si="0"/>
        <v>64.81</v>
      </c>
      <c r="AH39" s="112">
        <f t="shared" ca="1" si="1"/>
        <v>29.62</v>
      </c>
      <c r="AI39" s="112">
        <f t="shared" ca="1" si="2"/>
        <v>24</v>
      </c>
      <c r="AJ39" s="112">
        <f t="shared" ca="1" si="3"/>
        <v>38.122754360093133</v>
      </c>
      <c r="AK39" s="112">
        <f t="shared" ca="1" si="69"/>
        <v>39.016581950336217</v>
      </c>
      <c r="AL39" s="255"/>
      <c r="AM39" s="112">
        <f t="shared" si="4"/>
        <v>64.81</v>
      </c>
      <c r="AN39" s="112">
        <f t="shared" si="5"/>
        <v>29.62</v>
      </c>
      <c r="AO39" s="112">
        <f t="shared" si="6"/>
        <v>24</v>
      </c>
      <c r="AP39" s="112">
        <f t="shared" si="7"/>
        <v>38.122754360093133</v>
      </c>
      <c r="AQ39" s="112">
        <f t="shared" si="70"/>
        <v>39.016581950336217</v>
      </c>
      <c r="AR39" s="255"/>
      <c r="AS39" s="112">
        <f t="shared" ca="1" si="8"/>
        <v>0</v>
      </c>
      <c r="AT39" s="112">
        <f t="shared" ca="1" si="9"/>
        <v>0</v>
      </c>
      <c r="AU39" s="112">
        <f t="shared" ca="1" si="10"/>
        <v>0</v>
      </c>
      <c r="AV39" s="112">
        <f t="shared" ca="1" si="11"/>
        <v>0</v>
      </c>
      <c r="AW39" s="112">
        <f t="shared" ca="1" si="83"/>
        <v>0</v>
      </c>
      <c r="AX39" s="109">
        <f t="shared" ca="1" si="13"/>
        <v>0</v>
      </c>
      <c r="AY39" s="112">
        <f t="shared" si="14"/>
        <v>1.2386744182846514</v>
      </c>
      <c r="AZ39" s="112">
        <f t="shared" si="15"/>
        <v>2.2601279298024992</v>
      </c>
      <c r="BA39" s="112">
        <f t="shared" si="16"/>
        <v>1.0631230642167593</v>
      </c>
      <c r="BB39" s="112">
        <f t="shared" si="17"/>
        <v>0.47014365835437688</v>
      </c>
      <c r="BC39" s="112">
        <f t="shared" si="18"/>
        <v>0.99955053731003463</v>
      </c>
      <c r="BD39" s="112">
        <f t="shared" ca="1" si="19"/>
        <v>64.81</v>
      </c>
      <c r="BE39" s="112">
        <f t="shared" si="20"/>
        <v>38.122754360093133</v>
      </c>
      <c r="BF39" s="112">
        <f t="shared" ca="1" si="21"/>
        <v>38.122754360093133</v>
      </c>
      <c r="BG39" s="112">
        <f t="shared" ca="1" si="22"/>
        <v>38.122754360093133</v>
      </c>
      <c r="BH39" s="112">
        <f t="shared" ca="1" si="23"/>
        <v>1.2549762842541001E-2</v>
      </c>
      <c r="BI39" s="112">
        <f t="shared" ca="1" si="24"/>
        <v>29.991723975396066</v>
      </c>
      <c r="BJ39" s="112">
        <f t="shared" ca="1" si="25"/>
        <v>29.991723975396066</v>
      </c>
      <c r="BK39" s="112">
        <f t="shared" ca="1" si="26"/>
        <v>38.412283283037823</v>
      </c>
      <c r="BL39" s="112">
        <f t="shared" ca="1" si="27"/>
        <v>38.412283283037823</v>
      </c>
      <c r="BM39" s="112">
        <f t="shared" ca="1" si="28"/>
        <v>38.412283283037823</v>
      </c>
      <c r="BN39" s="112">
        <f t="shared" ca="1" si="29"/>
        <v>38.66751981595079</v>
      </c>
      <c r="BO39" s="112">
        <f t="shared" ca="1" si="30"/>
        <v>38.66751981595079</v>
      </c>
      <c r="BP39" s="112">
        <f t="shared" ca="1" si="31"/>
        <v>38.66751981595079</v>
      </c>
      <c r="BQ39" s="112">
        <f t="shared" ca="1" si="32"/>
        <v>0.72080394951726734</v>
      </c>
      <c r="BR39" s="112">
        <f t="shared" ca="1" si="33"/>
        <v>0</v>
      </c>
      <c r="BS39" s="112">
        <f t="shared" ca="1" si="34"/>
        <v>0</v>
      </c>
      <c r="BT39" s="112">
        <f t="shared" ca="1" si="35"/>
        <v>0</v>
      </c>
      <c r="BU39" s="112">
        <f t="shared" ca="1" si="36"/>
        <v>0</v>
      </c>
      <c r="BV39" s="112">
        <f t="shared" ca="1" si="37"/>
        <v>1.2126656124559447</v>
      </c>
      <c r="BW39" s="112">
        <f t="shared" ca="1" si="38"/>
        <v>2.728552747736702</v>
      </c>
      <c r="BX39" s="112">
        <f t="shared" ca="1" si="39"/>
        <v>1.4153158825058465</v>
      </c>
      <c r="BY39" s="112">
        <f t="shared" ca="1" si="40"/>
        <v>4.6393070458823425E-38</v>
      </c>
      <c r="BZ39" s="112">
        <f t="shared" ca="1" si="41"/>
        <v>1.9522985140680953</v>
      </c>
      <c r="CA39" s="112">
        <f t="shared" ca="1" si="42"/>
        <v>-3.1615984035660744E-39</v>
      </c>
      <c r="CB39" s="112">
        <v>1</v>
      </c>
      <c r="CC39" s="112">
        <v>1</v>
      </c>
      <c r="CD39" s="112">
        <v>1</v>
      </c>
      <c r="CE39" s="112">
        <v>1</v>
      </c>
      <c r="CF39" s="109">
        <f t="shared" ca="1" si="43"/>
        <v>2.7155239462041907</v>
      </c>
      <c r="CG39" s="112">
        <f t="shared" ca="1" si="44"/>
        <v>1.571841315401397</v>
      </c>
      <c r="CH39" s="255"/>
      <c r="CI39" s="150" t="str">
        <f t="shared" ca="1" si="45"/>
        <v>C0M50Y50K0</v>
      </c>
      <c r="CJ39" s="125">
        <f t="shared" ca="1" si="46"/>
        <v>0</v>
      </c>
      <c r="CK39" s="125">
        <f t="shared" ca="1" si="47"/>
        <v>0</v>
      </c>
      <c r="CL39" s="125">
        <f t="shared" ca="1" si="48"/>
        <v>0</v>
      </c>
      <c r="CM39" s="124">
        <f t="shared" ca="1" si="49"/>
        <v>0</v>
      </c>
      <c r="CN39" s="112">
        <f t="shared" ca="1" si="50"/>
        <v>0</v>
      </c>
      <c r="CO39" s="112">
        <f t="shared" ca="1" si="51"/>
        <v>0</v>
      </c>
      <c r="CP39" s="112">
        <f t="shared" ca="1" si="52"/>
        <v>0</v>
      </c>
      <c r="CQ39" s="112" t="str">
        <f t="shared" ca="1" si="71"/>
        <v/>
      </c>
      <c r="CR39" s="112" t="str">
        <f t="shared" ca="1" si="72"/>
        <v/>
      </c>
      <c r="CS39" s="112" t="str">
        <f t="shared" ca="1" si="73"/>
        <v/>
      </c>
      <c r="CT39" s="112" t="str">
        <f t="shared" ca="1" si="74"/>
        <v/>
      </c>
      <c r="CU39" s="112" t="str">
        <f t="shared" ca="1" si="75"/>
        <v/>
      </c>
      <c r="CV39" s="112" t="str">
        <f t="shared" ca="1" si="76"/>
        <v/>
      </c>
      <c r="CW39" s="112" t="str">
        <f t="shared" ca="1" si="53"/>
        <v/>
      </c>
      <c r="CX39" s="112" t="str">
        <f t="shared" ca="1" si="77"/>
        <v/>
      </c>
      <c r="CY39" s="112" t="str">
        <f t="shared" ca="1" si="54"/>
        <v/>
      </c>
      <c r="CZ39" s="112" t="str">
        <f t="shared" ca="1" si="78"/>
        <v/>
      </c>
      <c r="DA39" s="112" t="str">
        <f t="shared" ca="1" si="55"/>
        <v/>
      </c>
      <c r="DB39" s="112" t="str">
        <f t="shared" ca="1" si="56"/>
        <v/>
      </c>
      <c r="DC39" s="112" t="str">
        <f t="shared" ca="1" si="57"/>
        <v/>
      </c>
      <c r="DD39" s="112" t="str">
        <f t="shared" ca="1" si="58"/>
        <v/>
      </c>
      <c r="DE39" s="112" t="str">
        <f t="shared" ca="1" si="59"/>
        <v/>
      </c>
      <c r="DF39" s="112" t="str">
        <f t="shared" ca="1" si="60"/>
        <v/>
      </c>
      <c r="DG39" s="125" t="str">
        <f t="shared" ca="1" si="61"/>
        <v>-</v>
      </c>
      <c r="DH39" s="125">
        <f t="shared" ca="1" si="62"/>
        <v>50</v>
      </c>
      <c r="DI39" s="125">
        <f t="shared" ca="1" si="63"/>
        <v>50</v>
      </c>
      <c r="DJ39" s="125" t="str">
        <f t="shared" ca="1" si="64"/>
        <v>-</v>
      </c>
      <c r="DK39" s="112">
        <f t="shared" ca="1" si="85"/>
        <v>0.41641093358105102</v>
      </c>
      <c r="DL39" s="112">
        <f t="shared" ca="1" si="86"/>
        <v>0.33808145798374784</v>
      </c>
      <c r="DM39" s="112">
        <f t="shared" ca="1" si="87"/>
        <v>0.15816519596971748</v>
      </c>
      <c r="DN39" s="112">
        <f t="shared" si="88"/>
        <v>0.41641093358105102</v>
      </c>
      <c r="DO39" s="112">
        <f t="shared" si="89"/>
        <v>0.33808145798374784</v>
      </c>
      <c r="DP39" s="112">
        <f t="shared" si="90"/>
        <v>0.15816519596971748</v>
      </c>
      <c r="DQ39" s="112">
        <f t="shared" ca="1" si="79"/>
        <v>64.81</v>
      </c>
      <c r="DR39" s="112">
        <f t="shared" ca="1" si="67"/>
        <v>29.62</v>
      </c>
      <c r="DS39" s="112">
        <f t="shared" ca="1" si="68"/>
        <v>24</v>
      </c>
      <c r="DT39" s="112">
        <f t="shared" si="80"/>
        <v>64.81</v>
      </c>
      <c r="DU39" s="112">
        <f t="shared" si="81"/>
        <v>29.62</v>
      </c>
      <c r="DV39" s="112">
        <f t="shared" si="82"/>
        <v>24</v>
      </c>
      <c r="DW39" s="260"/>
      <c r="DX39" s="168"/>
      <c r="DY39" s="168"/>
    </row>
    <row r="40" spans="1:129" s="151" customFormat="1" ht="14" customHeight="1">
      <c r="A40" s="158"/>
      <c r="B40" s="153">
        <f t="shared" ca="1" si="93"/>
        <v>100</v>
      </c>
      <c r="C40" s="154">
        <f t="shared" ca="1" si="94"/>
        <v>100</v>
      </c>
      <c r="D40" s="155" t="str">
        <f t="shared" ca="1" si="95"/>
        <v>-</v>
      </c>
      <c r="E40" s="156" t="str">
        <f t="shared" ca="1" si="96"/>
        <v>-</v>
      </c>
      <c r="F40" s="184"/>
      <c r="G40" s="195"/>
      <c r="H40" s="239">
        <v>35</v>
      </c>
      <c r="I40" s="240">
        <v>9</v>
      </c>
      <c r="J40" s="241">
        <v>-32</v>
      </c>
      <c r="K40" s="181"/>
      <c r="L40" s="204">
        <f t="shared" ca="1" si="97"/>
        <v>35</v>
      </c>
      <c r="M40" s="95">
        <f t="shared" ca="1" si="98"/>
        <v>9</v>
      </c>
      <c r="N40" s="205">
        <f t="shared" ca="1" si="99"/>
        <v>-32</v>
      </c>
      <c r="O40" s="21"/>
      <c r="P40" s="157">
        <f t="shared" ca="1" si="100"/>
        <v>0</v>
      </c>
      <c r="Q40" s="215"/>
      <c r="R40" s="289">
        <f t="shared" ca="1" si="101"/>
        <v>0</v>
      </c>
      <c r="S40" s="290"/>
      <c r="T40" s="148"/>
      <c r="U40" s="291">
        <f t="shared" ca="1" si="102"/>
        <v>0</v>
      </c>
      <c r="V40" s="292"/>
      <c r="W40" s="23"/>
      <c r="X40" s="291">
        <f t="shared" ca="1" si="103"/>
        <v>0</v>
      </c>
      <c r="Y40" s="292"/>
      <c r="Z40" s="215"/>
      <c r="AA40" s="215"/>
      <c r="AB40" s="215"/>
      <c r="AC40" s="94"/>
      <c r="AD40" s="94"/>
      <c r="AE40" s="149"/>
      <c r="AF40" s="149"/>
      <c r="AG40" s="112">
        <f t="shared" ca="1" si="0"/>
        <v>41.44</v>
      </c>
      <c r="AH40" s="112">
        <f t="shared" ca="1" si="1"/>
        <v>-25.89</v>
      </c>
      <c r="AI40" s="112">
        <f t="shared" ca="1" si="2"/>
        <v>4.0599999999999996</v>
      </c>
      <c r="AJ40" s="112">
        <f t="shared" ca="1" si="3"/>
        <v>26.206405705475905</v>
      </c>
      <c r="AK40" s="112">
        <f t="shared" ca="1" si="69"/>
        <v>171.08761411979856</v>
      </c>
      <c r="AL40" s="255"/>
      <c r="AM40" s="112">
        <f t="shared" si="4"/>
        <v>41.44</v>
      </c>
      <c r="AN40" s="112">
        <f t="shared" si="5"/>
        <v>-25.89</v>
      </c>
      <c r="AO40" s="112">
        <f t="shared" si="6"/>
        <v>4.0599999999999996</v>
      </c>
      <c r="AP40" s="112">
        <f t="shared" si="7"/>
        <v>26.206405705475905</v>
      </c>
      <c r="AQ40" s="112">
        <f t="shared" si="70"/>
        <v>171.08761411979856</v>
      </c>
      <c r="AR40" s="255"/>
      <c r="AS40" s="112">
        <f t="shared" ca="1" si="8"/>
        <v>0</v>
      </c>
      <c r="AT40" s="112">
        <f t="shared" ca="1" si="9"/>
        <v>0</v>
      </c>
      <c r="AU40" s="112">
        <f t="shared" ca="1" si="10"/>
        <v>0</v>
      </c>
      <c r="AV40" s="112">
        <f t="shared" ca="1" si="11"/>
        <v>0</v>
      </c>
      <c r="AW40" s="112">
        <f t="shared" ca="1" si="83"/>
        <v>0</v>
      </c>
      <c r="AX40" s="109">
        <f t="shared" ca="1" si="13"/>
        <v>0</v>
      </c>
      <c r="AY40" s="112">
        <f t="shared" si="14"/>
        <v>0.98070250015016613</v>
      </c>
      <c r="AZ40" s="112">
        <f t="shared" si="15"/>
        <v>1.8826689581268865</v>
      </c>
      <c r="BA40" s="112">
        <f t="shared" si="16"/>
        <v>1.4069822695138885</v>
      </c>
      <c r="BB40" s="112">
        <f t="shared" si="17"/>
        <v>0.74682546697476293</v>
      </c>
      <c r="BC40" s="112">
        <f t="shared" si="18"/>
        <v>0.9979919058362271</v>
      </c>
      <c r="BD40" s="112">
        <f t="shared" ca="1" si="19"/>
        <v>41.44</v>
      </c>
      <c r="BE40" s="112">
        <f t="shared" si="20"/>
        <v>26.206405705475905</v>
      </c>
      <c r="BF40" s="112">
        <f t="shared" ca="1" si="21"/>
        <v>26.206405705475905</v>
      </c>
      <c r="BG40" s="112">
        <f t="shared" ca="1" si="22"/>
        <v>26.206405705475905</v>
      </c>
      <c r="BH40" s="112">
        <f t="shared" ca="1" si="23"/>
        <v>0.11864250545376481</v>
      </c>
      <c r="BI40" s="112">
        <f t="shared" ca="1" si="24"/>
        <v>-28.96165446619797</v>
      </c>
      <c r="BJ40" s="112">
        <f t="shared" ca="1" si="25"/>
        <v>-28.96165446619797</v>
      </c>
      <c r="BK40" s="112">
        <f t="shared" ca="1" si="26"/>
        <v>29.244846202697747</v>
      </c>
      <c r="BL40" s="112">
        <f t="shared" ca="1" si="27"/>
        <v>29.244846202697747</v>
      </c>
      <c r="BM40" s="112">
        <f t="shared" ca="1" si="28"/>
        <v>29.244846202697747</v>
      </c>
      <c r="BN40" s="112">
        <f t="shared" ca="1" si="29"/>
        <v>172.01997360011495</v>
      </c>
      <c r="BO40" s="112">
        <f t="shared" ca="1" si="30"/>
        <v>172.01997360011495</v>
      </c>
      <c r="BP40" s="112">
        <f t="shared" ca="1" si="31"/>
        <v>172.01997360011495</v>
      </c>
      <c r="BQ40" s="112">
        <f t="shared" ca="1" si="32"/>
        <v>1.0774591535032312</v>
      </c>
      <c r="BR40" s="112">
        <f t="shared" ca="1" si="33"/>
        <v>0</v>
      </c>
      <c r="BS40" s="112">
        <f t="shared" ca="1" si="34"/>
        <v>0</v>
      </c>
      <c r="BT40" s="112">
        <f t="shared" ca="1" si="35"/>
        <v>0</v>
      </c>
      <c r="BU40" s="112">
        <f t="shared" ca="1" si="36"/>
        <v>0</v>
      </c>
      <c r="BV40" s="112">
        <f t="shared" ca="1" si="37"/>
        <v>1.1138044957476076</v>
      </c>
      <c r="BW40" s="112">
        <f t="shared" ca="1" si="38"/>
        <v>2.3160180791213989</v>
      </c>
      <c r="BX40" s="112">
        <f t="shared" ca="1" si="39"/>
        <v>1.4726519085083636</v>
      </c>
      <c r="BY40" s="112">
        <f t="shared" ca="1" si="40"/>
        <v>1.2826017086554295E-6</v>
      </c>
      <c r="BZ40" s="112">
        <f t="shared" ca="1" si="41"/>
        <v>1.7318733258461758</v>
      </c>
      <c r="CA40" s="112">
        <f t="shared" ca="1" si="42"/>
        <v>-7.7538126046365296E-8</v>
      </c>
      <c r="CB40" s="112">
        <v>1</v>
      </c>
      <c r="CC40" s="112">
        <v>1</v>
      </c>
      <c r="CD40" s="112">
        <v>1</v>
      </c>
      <c r="CE40" s="112">
        <v>1</v>
      </c>
      <c r="CF40" s="109">
        <f t="shared" ca="1" si="43"/>
        <v>2.1792882567464158</v>
      </c>
      <c r="CG40" s="112">
        <f t="shared" ca="1" si="44"/>
        <v>1.3930960855821386</v>
      </c>
      <c r="CH40" s="255"/>
      <c r="CI40" s="150" t="str">
        <f t="shared" ca="1" si="45"/>
        <v>C100M0Y70K40</v>
      </c>
      <c r="CJ40" s="125">
        <f t="shared" ca="1" si="46"/>
        <v>0</v>
      </c>
      <c r="CK40" s="125">
        <f t="shared" ca="1" si="47"/>
        <v>0</v>
      </c>
      <c r="CL40" s="125">
        <f t="shared" ca="1" si="48"/>
        <v>0</v>
      </c>
      <c r="CM40" s="124">
        <f t="shared" ca="1" si="49"/>
        <v>0</v>
      </c>
      <c r="CN40" s="112">
        <f t="shared" ca="1" si="50"/>
        <v>0</v>
      </c>
      <c r="CO40" s="112">
        <f t="shared" ca="1" si="51"/>
        <v>0</v>
      </c>
      <c r="CP40" s="112">
        <f t="shared" ca="1" si="52"/>
        <v>0</v>
      </c>
      <c r="CQ40" s="112" t="str">
        <f t="shared" ca="1" si="71"/>
        <v/>
      </c>
      <c r="CR40" s="112" t="str">
        <f t="shared" ca="1" si="72"/>
        <v/>
      </c>
      <c r="CS40" s="112" t="str">
        <f t="shared" ca="1" si="73"/>
        <v/>
      </c>
      <c r="CT40" s="112" t="str">
        <f t="shared" ca="1" si="74"/>
        <v/>
      </c>
      <c r="CU40" s="112" t="str">
        <f t="shared" ca="1" si="75"/>
        <v/>
      </c>
      <c r="CV40" s="112" t="str">
        <f t="shared" ca="1" si="76"/>
        <v/>
      </c>
      <c r="CW40" s="112" t="str">
        <f t="shared" ca="1" si="53"/>
        <v/>
      </c>
      <c r="CX40" s="112" t="str">
        <f t="shared" ca="1" si="77"/>
        <v/>
      </c>
      <c r="CY40" s="112" t="str">
        <f t="shared" ca="1" si="54"/>
        <v/>
      </c>
      <c r="CZ40" s="112" t="str">
        <f t="shared" ca="1" si="78"/>
        <v/>
      </c>
      <c r="DA40" s="112" t="str">
        <f t="shared" ca="1" si="55"/>
        <v/>
      </c>
      <c r="DB40" s="112" t="str">
        <f t="shared" ca="1" si="56"/>
        <v/>
      </c>
      <c r="DC40" s="112" t="str">
        <f t="shared" ca="1" si="57"/>
        <v/>
      </c>
      <c r="DD40" s="112" t="str">
        <f t="shared" ca="1" si="58"/>
        <v/>
      </c>
      <c r="DE40" s="112" t="str">
        <f t="shared" ca="1" si="59"/>
        <v/>
      </c>
      <c r="DF40" s="112" t="str">
        <f t="shared" ca="1" si="60"/>
        <v/>
      </c>
      <c r="DG40" s="125">
        <f t="shared" ca="1" si="61"/>
        <v>100</v>
      </c>
      <c r="DH40" s="125" t="str">
        <f t="shared" ca="1" si="62"/>
        <v>-</v>
      </c>
      <c r="DI40" s="125">
        <f t="shared" ca="1" si="63"/>
        <v>70</v>
      </c>
      <c r="DJ40" s="125">
        <f t="shared" ca="1" si="64"/>
        <v>40</v>
      </c>
      <c r="DK40" s="112">
        <f t="shared" ca="1" si="85"/>
        <v>8.404887447396657E-2</v>
      </c>
      <c r="DL40" s="112">
        <f t="shared" ca="1" si="86"/>
        <v>0.12141415621796711</v>
      </c>
      <c r="DM40" s="112">
        <f t="shared" ca="1" si="87"/>
        <v>8.8334860527685327E-2</v>
      </c>
      <c r="DN40" s="112">
        <f t="shared" si="88"/>
        <v>8.404887447396657E-2</v>
      </c>
      <c r="DO40" s="112">
        <f t="shared" si="89"/>
        <v>0.12141415621796711</v>
      </c>
      <c r="DP40" s="112">
        <f t="shared" si="90"/>
        <v>8.8334860527685327E-2</v>
      </c>
      <c r="DQ40" s="112">
        <f t="shared" ca="1" si="79"/>
        <v>41.44</v>
      </c>
      <c r="DR40" s="112">
        <f t="shared" ca="1" si="67"/>
        <v>-25.89</v>
      </c>
      <c r="DS40" s="112">
        <f t="shared" ca="1" si="68"/>
        <v>4.0599999999999996</v>
      </c>
      <c r="DT40" s="112">
        <f t="shared" si="80"/>
        <v>41.44</v>
      </c>
      <c r="DU40" s="112">
        <f t="shared" si="81"/>
        <v>-25.89</v>
      </c>
      <c r="DV40" s="112">
        <f t="shared" si="82"/>
        <v>4.0599999999999996</v>
      </c>
      <c r="DW40" s="260"/>
      <c r="DX40" s="168"/>
      <c r="DY40" s="168"/>
    </row>
    <row r="41" spans="1:129" s="151" customFormat="1" ht="14" customHeight="1">
      <c r="A41" s="158"/>
      <c r="B41" s="153">
        <f t="shared" ca="1" si="93"/>
        <v>100</v>
      </c>
      <c r="C41" s="154">
        <f t="shared" ca="1" si="94"/>
        <v>100</v>
      </c>
      <c r="D41" s="155" t="str">
        <f t="shared" ca="1" si="95"/>
        <v>-</v>
      </c>
      <c r="E41" s="156">
        <f t="shared" ca="1" si="96"/>
        <v>40</v>
      </c>
      <c r="F41" s="184"/>
      <c r="G41" s="195"/>
      <c r="H41" s="239">
        <v>31.24</v>
      </c>
      <c r="I41" s="240">
        <v>9.84</v>
      </c>
      <c r="J41" s="241">
        <v>-20.71</v>
      </c>
      <c r="K41" s="181"/>
      <c r="L41" s="204">
        <f t="shared" ca="1" si="97"/>
        <v>31.24</v>
      </c>
      <c r="M41" s="95">
        <f t="shared" ca="1" si="98"/>
        <v>9.84</v>
      </c>
      <c r="N41" s="205">
        <f t="shared" ca="1" si="99"/>
        <v>-20.71</v>
      </c>
      <c r="O41" s="21"/>
      <c r="P41" s="157">
        <f t="shared" ca="1" si="100"/>
        <v>0</v>
      </c>
      <c r="Q41" s="215"/>
      <c r="R41" s="289">
        <f t="shared" ca="1" si="101"/>
        <v>0</v>
      </c>
      <c r="S41" s="290"/>
      <c r="T41" s="148"/>
      <c r="U41" s="291">
        <f t="shared" ca="1" si="102"/>
        <v>0</v>
      </c>
      <c r="V41" s="292"/>
      <c r="W41" s="23"/>
      <c r="X41" s="291">
        <f t="shared" ca="1" si="103"/>
        <v>0</v>
      </c>
      <c r="Y41" s="292"/>
      <c r="Z41" s="215"/>
      <c r="AA41" s="215"/>
      <c r="AB41" s="215"/>
      <c r="AC41" s="94"/>
      <c r="AD41" s="94"/>
      <c r="AE41" s="149"/>
      <c r="AF41" s="149"/>
      <c r="AG41" s="112">
        <f t="shared" ca="1" si="0"/>
        <v>82.23</v>
      </c>
      <c r="AH41" s="112">
        <f t="shared" ca="1" si="1"/>
        <v>6.97</v>
      </c>
      <c r="AI41" s="112">
        <f t="shared" ca="1" si="2"/>
        <v>1.35</v>
      </c>
      <c r="AJ41" s="112">
        <f t="shared" ca="1" si="3"/>
        <v>7.0995351960533304</v>
      </c>
      <c r="AK41" s="112">
        <f t="shared" ca="1" si="69"/>
        <v>10.961730365997839</v>
      </c>
      <c r="AL41" s="255"/>
      <c r="AM41" s="112">
        <f t="shared" si="4"/>
        <v>82.23</v>
      </c>
      <c r="AN41" s="112">
        <f t="shared" si="5"/>
        <v>6.97</v>
      </c>
      <c r="AO41" s="112">
        <f t="shared" si="6"/>
        <v>1.35</v>
      </c>
      <c r="AP41" s="112">
        <f t="shared" si="7"/>
        <v>7.0995351960533304</v>
      </c>
      <c r="AQ41" s="112">
        <f t="shared" si="70"/>
        <v>10.961730365997839</v>
      </c>
      <c r="AR41" s="255"/>
      <c r="AS41" s="112">
        <f t="shared" ca="1" si="8"/>
        <v>0</v>
      </c>
      <c r="AT41" s="112">
        <f t="shared" ca="1" si="9"/>
        <v>0</v>
      </c>
      <c r="AU41" s="112">
        <f t="shared" ca="1" si="10"/>
        <v>0</v>
      </c>
      <c r="AV41" s="112">
        <f t="shared" ca="1" si="11"/>
        <v>0</v>
      </c>
      <c r="AW41" s="112">
        <f t="shared" ca="1" si="83"/>
        <v>0</v>
      </c>
      <c r="AX41" s="109">
        <f t="shared" ca="1" si="13"/>
        <v>0</v>
      </c>
      <c r="AY41" s="112">
        <f t="shared" si="14"/>
        <v>1.3744920930610138</v>
      </c>
      <c r="AZ41" s="112">
        <f t="shared" si="15"/>
        <v>1.0524087142977285</v>
      </c>
      <c r="BA41" s="112">
        <f t="shared" si="16"/>
        <v>0.76429083418356047</v>
      </c>
      <c r="BB41" s="112">
        <f t="shared" si="17"/>
        <v>0.63805547396194862</v>
      </c>
      <c r="BC41" s="112">
        <f t="shared" si="18"/>
        <v>0.75638648846776735</v>
      </c>
      <c r="BD41" s="112">
        <f t="shared" ca="1" si="19"/>
        <v>82.23</v>
      </c>
      <c r="BE41" s="112">
        <f t="shared" si="20"/>
        <v>7.0995351960533304</v>
      </c>
      <c r="BF41" s="112">
        <f t="shared" ca="1" si="21"/>
        <v>7.0995351960533304</v>
      </c>
      <c r="BG41" s="112">
        <f t="shared" ca="1" si="22"/>
        <v>7.0995351960533304</v>
      </c>
      <c r="BH41" s="112">
        <f t="shared" ca="1" si="23"/>
        <v>0.49389827906549988</v>
      </c>
      <c r="BI41" s="112">
        <f t="shared" ca="1" si="24"/>
        <v>10.412471005086534</v>
      </c>
      <c r="BJ41" s="112">
        <f t="shared" ca="1" si="25"/>
        <v>10.412471005086534</v>
      </c>
      <c r="BK41" s="112">
        <f t="shared" ca="1" si="26"/>
        <v>10.499621537549235</v>
      </c>
      <c r="BL41" s="112">
        <f t="shared" ca="1" si="27"/>
        <v>10.499621537549235</v>
      </c>
      <c r="BM41" s="112">
        <f t="shared" ca="1" si="28"/>
        <v>10.499621537549235</v>
      </c>
      <c r="BN41" s="112">
        <f t="shared" ca="1" si="29"/>
        <v>7.3873161902986322</v>
      </c>
      <c r="BO41" s="112">
        <f t="shared" ca="1" si="30"/>
        <v>7.3873161902986322</v>
      </c>
      <c r="BP41" s="112">
        <f t="shared" ca="1" si="31"/>
        <v>7.3873161902986322</v>
      </c>
      <c r="BQ41" s="112">
        <f t="shared" ca="1" si="32"/>
        <v>1.1903789146602648</v>
      </c>
      <c r="BR41" s="112">
        <f t="shared" ca="1" si="33"/>
        <v>0</v>
      </c>
      <c r="BS41" s="112">
        <f t="shared" ca="1" si="34"/>
        <v>0</v>
      </c>
      <c r="BT41" s="112">
        <f t="shared" ca="1" si="35"/>
        <v>0</v>
      </c>
      <c r="BU41" s="112">
        <f t="shared" ca="1" si="36"/>
        <v>0</v>
      </c>
      <c r="BV41" s="112">
        <f t="shared" ca="1" si="37"/>
        <v>1.4788620955605185</v>
      </c>
      <c r="BW41" s="112">
        <f t="shared" ca="1" si="38"/>
        <v>1.4724829691897154</v>
      </c>
      <c r="BX41" s="112">
        <f t="shared" ca="1" si="39"/>
        <v>1.187477921353171</v>
      </c>
      <c r="BY41" s="112">
        <f t="shared" ca="1" si="40"/>
        <v>5.1623364688042125E-49</v>
      </c>
      <c r="BZ41" s="112">
        <f t="shared" ca="1" si="41"/>
        <v>9.5906449914018269E-2</v>
      </c>
      <c r="CA41" s="112">
        <f t="shared" ca="1" si="42"/>
        <v>-1.7282297865295116E-51</v>
      </c>
      <c r="CB41" s="112">
        <v>1</v>
      </c>
      <c r="CC41" s="112">
        <v>1</v>
      </c>
      <c r="CD41" s="112">
        <v>1</v>
      </c>
      <c r="CE41" s="112">
        <v>1</v>
      </c>
      <c r="CF41" s="109">
        <f t="shared" ca="1" si="43"/>
        <v>1.3194790838224</v>
      </c>
      <c r="CG41" s="112">
        <f t="shared" ca="1" si="44"/>
        <v>1.1064930279407998</v>
      </c>
      <c r="CH41" s="255"/>
      <c r="CI41" s="150" t="str">
        <f t="shared" ca="1" si="45"/>
        <v>C0M10Y0K0</v>
      </c>
      <c r="CJ41" s="125">
        <f t="shared" ca="1" si="46"/>
        <v>0</v>
      </c>
      <c r="CK41" s="125">
        <f t="shared" ca="1" si="47"/>
        <v>0</v>
      </c>
      <c r="CL41" s="125">
        <f t="shared" ca="1" si="48"/>
        <v>0</v>
      </c>
      <c r="CM41" s="124">
        <f t="shared" ca="1" si="49"/>
        <v>0</v>
      </c>
      <c r="CN41" s="112">
        <f t="shared" ca="1" si="50"/>
        <v>0</v>
      </c>
      <c r="CO41" s="112">
        <f t="shared" ca="1" si="51"/>
        <v>0</v>
      </c>
      <c r="CP41" s="112">
        <f t="shared" ca="1" si="52"/>
        <v>0</v>
      </c>
      <c r="CQ41" s="112" t="str">
        <f t="shared" ca="1" si="71"/>
        <v/>
      </c>
      <c r="CR41" s="112" t="str">
        <f t="shared" ca="1" si="72"/>
        <v/>
      </c>
      <c r="CS41" s="112" t="str">
        <f t="shared" ca="1" si="73"/>
        <v/>
      </c>
      <c r="CT41" s="112" t="str">
        <f t="shared" ca="1" si="74"/>
        <v/>
      </c>
      <c r="CU41" s="112" t="str">
        <f t="shared" ca="1" si="75"/>
        <v/>
      </c>
      <c r="CV41" s="112" t="str">
        <f t="shared" ca="1" si="76"/>
        <v/>
      </c>
      <c r="CW41" s="112" t="str">
        <f t="shared" ca="1" si="53"/>
        <v/>
      </c>
      <c r="CX41" s="112" t="str">
        <f t="shared" ca="1" si="77"/>
        <v/>
      </c>
      <c r="CY41" s="112" t="str">
        <f t="shared" ca="1" si="54"/>
        <v/>
      </c>
      <c r="CZ41" s="112" t="str">
        <f t="shared" ca="1" si="78"/>
        <v/>
      </c>
      <c r="DA41" s="112" t="str">
        <f t="shared" ca="1" si="55"/>
        <v/>
      </c>
      <c r="DB41" s="112" t="str">
        <f t="shared" ca="1" si="56"/>
        <v/>
      </c>
      <c r="DC41" s="112" t="str">
        <f t="shared" ca="1" si="57"/>
        <v/>
      </c>
      <c r="DD41" s="112" t="str">
        <f t="shared" ca="1" si="58"/>
        <v/>
      </c>
      <c r="DE41" s="112" t="str">
        <f t="shared" ca="1" si="59"/>
        <v/>
      </c>
      <c r="DF41" s="112" t="str">
        <f t="shared" ca="1" si="60"/>
        <v/>
      </c>
      <c r="DG41" s="125" t="str">
        <f t="shared" ca="1" si="61"/>
        <v>-</v>
      </c>
      <c r="DH41" s="125">
        <f t="shared" ca="1" si="62"/>
        <v>10</v>
      </c>
      <c r="DI41" s="125" t="str">
        <f t="shared" ca="1" si="63"/>
        <v>-</v>
      </c>
      <c r="DJ41" s="125" t="str">
        <f t="shared" ca="1" si="64"/>
        <v>-</v>
      </c>
      <c r="DK41" s="112">
        <f t="shared" ca="1" si="85"/>
        <v>0.61489185912233202</v>
      </c>
      <c r="DL41" s="112">
        <f t="shared" ca="1" si="86"/>
        <v>0.60723733340786323</v>
      </c>
      <c r="DM41" s="112">
        <f t="shared" ca="1" si="87"/>
        <v>0.48902690818924871</v>
      </c>
      <c r="DN41" s="112">
        <f t="shared" si="88"/>
        <v>0.61489185912233202</v>
      </c>
      <c r="DO41" s="112">
        <f t="shared" si="89"/>
        <v>0.60723733340786323</v>
      </c>
      <c r="DP41" s="112">
        <f t="shared" si="90"/>
        <v>0.48902690818924871</v>
      </c>
      <c r="DQ41" s="112">
        <f t="shared" ca="1" si="79"/>
        <v>82.23</v>
      </c>
      <c r="DR41" s="112">
        <f t="shared" ca="1" si="67"/>
        <v>6.97</v>
      </c>
      <c r="DS41" s="112">
        <f t="shared" ca="1" si="68"/>
        <v>1.35</v>
      </c>
      <c r="DT41" s="112">
        <f t="shared" si="80"/>
        <v>82.23</v>
      </c>
      <c r="DU41" s="112">
        <f t="shared" si="81"/>
        <v>6.97</v>
      </c>
      <c r="DV41" s="112">
        <f t="shared" si="82"/>
        <v>1.35</v>
      </c>
      <c r="DW41" s="260"/>
      <c r="DX41" s="168"/>
      <c r="DY41" s="168"/>
    </row>
    <row r="42" spans="1:129" s="151" customFormat="1" ht="14" customHeight="1">
      <c r="A42" s="158"/>
      <c r="B42" s="153">
        <f t="shared" ca="1" si="93"/>
        <v>50</v>
      </c>
      <c r="C42" s="154" t="str">
        <f t="shared" ca="1" si="94"/>
        <v>-</v>
      </c>
      <c r="D42" s="155" t="str">
        <f t="shared" ca="1" si="95"/>
        <v>-</v>
      </c>
      <c r="E42" s="156" t="str">
        <f t="shared" ca="1" si="96"/>
        <v>-</v>
      </c>
      <c r="F42" s="184"/>
      <c r="G42" s="195"/>
      <c r="H42" s="239">
        <v>69.95</v>
      </c>
      <c r="I42" s="240">
        <v>-16.27</v>
      </c>
      <c r="J42" s="241">
        <v>-18.39</v>
      </c>
      <c r="K42" s="181"/>
      <c r="L42" s="204">
        <f t="shared" ca="1" si="97"/>
        <v>69.95</v>
      </c>
      <c r="M42" s="95">
        <f t="shared" ca="1" si="98"/>
        <v>-16.27</v>
      </c>
      <c r="N42" s="205">
        <f t="shared" ca="1" si="99"/>
        <v>-18.39</v>
      </c>
      <c r="O42" s="21"/>
      <c r="P42" s="157">
        <f t="shared" ca="1" si="100"/>
        <v>0</v>
      </c>
      <c r="Q42" s="215"/>
      <c r="R42" s="289">
        <f t="shared" ca="1" si="101"/>
        <v>0</v>
      </c>
      <c r="S42" s="290"/>
      <c r="T42" s="148"/>
      <c r="U42" s="291">
        <f t="shared" ca="1" si="102"/>
        <v>0</v>
      </c>
      <c r="V42" s="292"/>
      <c r="W42" s="23"/>
      <c r="X42" s="291">
        <f t="shared" ca="1" si="103"/>
        <v>0</v>
      </c>
      <c r="Y42" s="292"/>
      <c r="Z42" s="215"/>
      <c r="AA42" s="215"/>
      <c r="AB42" s="215"/>
      <c r="AC42" s="94"/>
      <c r="AD42" s="94"/>
      <c r="AE42" s="149"/>
      <c r="AF42" s="149"/>
      <c r="AG42" s="112">
        <f t="shared" ca="1" si="0"/>
        <v>74.599999999999994</v>
      </c>
      <c r="AH42" s="112">
        <f t="shared" ca="1" si="1"/>
        <v>15.03</v>
      </c>
      <c r="AI42" s="112">
        <f t="shared" ca="1" si="2"/>
        <v>15.81</v>
      </c>
      <c r="AJ42" s="112">
        <f t="shared" ca="1" si="3"/>
        <v>21.814146785973545</v>
      </c>
      <c r="AK42" s="112">
        <f t="shared" ca="1" si="69"/>
        <v>46.448806176257769</v>
      </c>
      <c r="AL42" s="255"/>
      <c r="AM42" s="112">
        <f t="shared" si="4"/>
        <v>74.599999999999994</v>
      </c>
      <c r="AN42" s="112">
        <f t="shared" si="5"/>
        <v>15.03</v>
      </c>
      <c r="AO42" s="112">
        <f t="shared" si="6"/>
        <v>15.81</v>
      </c>
      <c r="AP42" s="112">
        <f t="shared" si="7"/>
        <v>21.814146785973545</v>
      </c>
      <c r="AQ42" s="112">
        <f t="shared" si="70"/>
        <v>46.448806176257769</v>
      </c>
      <c r="AR42" s="255"/>
      <c r="AS42" s="112">
        <f t="shared" ca="1" si="8"/>
        <v>0</v>
      </c>
      <c r="AT42" s="112">
        <f t="shared" ca="1" si="9"/>
        <v>0</v>
      </c>
      <c r="AU42" s="112">
        <f t="shared" ca="1" si="10"/>
        <v>0</v>
      </c>
      <c r="AV42" s="112">
        <f t="shared" ca="1" si="11"/>
        <v>0</v>
      </c>
      <c r="AW42" s="112">
        <f t="shared" ca="1" si="83"/>
        <v>0</v>
      </c>
      <c r="AX42" s="109">
        <f t="shared" ca="1" si="13"/>
        <v>0</v>
      </c>
      <c r="AY42" s="112">
        <f t="shared" si="14"/>
        <v>1.3194406675040682</v>
      </c>
      <c r="AZ42" s="112">
        <f t="shared" si="15"/>
        <v>1.7204234719677611</v>
      </c>
      <c r="BA42" s="112">
        <f t="shared" si="16"/>
        <v>0.72584237061538104</v>
      </c>
      <c r="BB42" s="112">
        <f t="shared" si="17"/>
        <v>0.41947721538280186</v>
      </c>
      <c r="BC42" s="112">
        <f t="shared" si="18"/>
        <v>0.99583084449755432</v>
      </c>
      <c r="BD42" s="112">
        <f t="shared" ca="1" si="19"/>
        <v>74.599999999999994</v>
      </c>
      <c r="BE42" s="112">
        <f t="shared" si="20"/>
        <v>21.814146785973545</v>
      </c>
      <c r="BF42" s="112">
        <f t="shared" ca="1" si="21"/>
        <v>21.814146785973545</v>
      </c>
      <c r="BG42" s="112">
        <f t="shared" ca="1" si="22"/>
        <v>21.814146785973545</v>
      </c>
      <c r="BH42" s="112">
        <f t="shared" ca="1" si="23"/>
        <v>0.23635395138105786</v>
      </c>
      <c r="BI42" s="112">
        <f t="shared" ca="1" si="24"/>
        <v>18.582399889257296</v>
      </c>
      <c r="BJ42" s="112">
        <f t="shared" ca="1" si="25"/>
        <v>18.582399889257296</v>
      </c>
      <c r="BK42" s="112">
        <f t="shared" ca="1" si="26"/>
        <v>24.397985278384557</v>
      </c>
      <c r="BL42" s="112">
        <f t="shared" ca="1" si="27"/>
        <v>24.397985278384557</v>
      </c>
      <c r="BM42" s="112">
        <f t="shared" ca="1" si="28"/>
        <v>24.397985278384557</v>
      </c>
      <c r="BN42" s="112">
        <f t="shared" ca="1" si="29"/>
        <v>40.391305033554183</v>
      </c>
      <c r="BO42" s="112">
        <f t="shared" ca="1" si="30"/>
        <v>40.391305033554183</v>
      </c>
      <c r="BP42" s="112">
        <f t="shared" ca="1" si="31"/>
        <v>40.391305033554183</v>
      </c>
      <c r="BQ42" s="112">
        <f t="shared" ca="1" si="32"/>
        <v>0.70766295357222497</v>
      </c>
      <c r="BR42" s="112">
        <f t="shared" ca="1" si="33"/>
        <v>0</v>
      </c>
      <c r="BS42" s="112">
        <f t="shared" ca="1" si="34"/>
        <v>0</v>
      </c>
      <c r="BT42" s="112">
        <f t="shared" ca="1" si="35"/>
        <v>0</v>
      </c>
      <c r="BU42" s="112">
        <f t="shared" ca="1" si="36"/>
        <v>0</v>
      </c>
      <c r="BV42" s="112">
        <f t="shared" ca="1" si="37"/>
        <v>1.3630495326335439</v>
      </c>
      <c r="BW42" s="112">
        <f t="shared" ca="1" si="38"/>
        <v>2.0979093375273052</v>
      </c>
      <c r="BX42" s="112">
        <f t="shared" ca="1" si="39"/>
        <v>1.2589832548496993</v>
      </c>
      <c r="BY42" s="112">
        <f t="shared" ca="1" si="40"/>
        <v>1.700397787381842E-37</v>
      </c>
      <c r="BZ42" s="112">
        <f t="shared" ca="1" si="41"/>
        <v>1.3526957880798571</v>
      </c>
      <c r="CA42" s="112">
        <f t="shared" ca="1" si="42"/>
        <v>-8.0289366672340679E-39</v>
      </c>
      <c r="CB42" s="112">
        <v>1</v>
      </c>
      <c r="CC42" s="112">
        <v>1</v>
      </c>
      <c r="CD42" s="112">
        <v>1</v>
      </c>
      <c r="CE42" s="112">
        <v>1</v>
      </c>
      <c r="CF42" s="109">
        <f t="shared" ca="1" si="43"/>
        <v>1.9816366053688095</v>
      </c>
      <c r="CG42" s="112">
        <f t="shared" ca="1" si="44"/>
        <v>1.3272122017896031</v>
      </c>
      <c r="CH42" s="255"/>
      <c r="CI42" s="150" t="str">
        <f t="shared" ca="1" si="45"/>
        <v>C0M25Y25K0</v>
      </c>
      <c r="CJ42" s="125">
        <f t="shared" ca="1" si="46"/>
        <v>0</v>
      </c>
      <c r="CK42" s="125">
        <f t="shared" ca="1" si="47"/>
        <v>0</v>
      </c>
      <c r="CL42" s="125">
        <f t="shared" ca="1" si="48"/>
        <v>0</v>
      </c>
      <c r="CM42" s="124">
        <f t="shared" ca="1" si="49"/>
        <v>0</v>
      </c>
      <c r="CN42" s="112">
        <f t="shared" ca="1" si="50"/>
        <v>0</v>
      </c>
      <c r="CO42" s="112">
        <f t="shared" ca="1" si="51"/>
        <v>0</v>
      </c>
      <c r="CP42" s="112">
        <f t="shared" ca="1" si="52"/>
        <v>0</v>
      </c>
      <c r="CQ42" s="112" t="str">
        <f t="shared" ca="1" si="71"/>
        <v/>
      </c>
      <c r="CR42" s="112" t="str">
        <f t="shared" ca="1" si="72"/>
        <v/>
      </c>
      <c r="CS42" s="112" t="str">
        <f t="shared" ca="1" si="73"/>
        <v/>
      </c>
      <c r="CT42" s="112" t="str">
        <f t="shared" ca="1" si="74"/>
        <v/>
      </c>
      <c r="CU42" s="112" t="str">
        <f t="shared" ca="1" si="75"/>
        <v/>
      </c>
      <c r="CV42" s="112" t="str">
        <f t="shared" ca="1" si="76"/>
        <v/>
      </c>
      <c r="CW42" s="112" t="str">
        <f t="shared" ca="1" si="53"/>
        <v/>
      </c>
      <c r="CX42" s="112" t="str">
        <f t="shared" ca="1" si="77"/>
        <v/>
      </c>
      <c r="CY42" s="112" t="str">
        <f t="shared" ca="1" si="54"/>
        <v/>
      </c>
      <c r="CZ42" s="112" t="str">
        <f t="shared" ca="1" si="78"/>
        <v/>
      </c>
      <c r="DA42" s="112" t="str">
        <f t="shared" ca="1" si="55"/>
        <v/>
      </c>
      <c r="DB42" s="112" t="str">
        <f t="shared" ca="1" si="56"/>
        <v/>
      </c>
      <c r="DC42" s="112" t="str">
        <f t="shared" ca="1" si="57"/>
        <v/>
      </c>
      <c r="DD42" s="112" t="str">
        <f t="shared" ca="1" si="58"/>
        <v/>
      </c>
      <c r="DE42" s="112" t="str">
        <f t="shared" ca="1" si="59"/>
        <v/>
      </c>
      <c r="DF42" s="112" t="str">
        <f t="shared" ca="1" si="60"/>
        <v/>
      </c>
      <c r="DG42" s="125" t="str">
        <f t="shared" ca="1" si="61"/>
        <v>-</v>
      </c>
      <c r="DH42" s="125">
        <f t="shared" ca="1" si="62"/>
        <v>25</v>
      </c>
      <c r="DI42" s="125">
        <f t="shared" ca="1" si="63"/>
        <v>25</v>
      </c>
      <c r="DJ42" s="125" t="str">
        <f t="shared" ca="1" si="64"/>
        <v>-</v>
      </c>
      <c r="DK42" s="112">
        <f t="shared" ca="1" si="85"/>
        <v>0.51449536766645121</v>
      </c>
      <c r="DL42" s="112">
        <f t="shared" ca="1" si="86"/>
        <v>0.47644264319980312</v>
      </c>
      <c r="DM42" s="112">
        <f t="shared" ca="1" si="87"/>
        <v>0.28535391824899897</v>
      </c>
      <c r="DN42" s="112">
        <f t="shared" si="88"/>
        <v>0.51449536766645121</v>
      </c>
      <c r="DO42" s="112">
        <f t="shared" si="89"/>
        <v>0.47644264319980312</v>
      </c>
      <c r="DP42" s="112">
        <f t="shared" si="90"/>
        <v>0.28535391824899897</v>
      </c>
      <c r="DQ42" s="112">
        <f t="shared" ca="1" si="79"/>
        <v>74.599999999999994</v>
      </c>
      <c r="DR42" s="112">
        <f t="shared" ca="1" si="67"/>
        <v>15.03</v>
      </c>
      <c r="DS42" s="112">
        <f t="shared" ca="1" si="68"/>
        <v>15.81</v>
      </c>
      <c r="DT42" s="112">
        <f t="shared" si="80"/>
        <v>74.599999999999994</v>
      </c>
      <c r="DU42" s="112">
        <f t="shared" si="81"/>
        <v>15.03</v>
      </c>
      <c r="DV42" s="112">
        <f t="shared" si="82"/>
        <v>15.81</v>
      </c>
      <c r="DW42" s="260"/>
      <c r="DX42" s="168"/>
      <c r="DY42" s="168"/>
    </row>
    <row r="43" spans="1:129" s="151" customFormat="1" ht="14" customHeight="1">
      <c r="A43" s="158"/>
      <c r="B43" s="153">
        <f t="shared" ca="1" si="93"/>
        <v>75</v>
      </c>
      <c r="C43" s="154">
        <f t="shared" ca="1" si="94"/>
        <v>75</v>
      </c>
      <c r="D43" s="155" t="str">
        <f t="shared" ca="1" si="95"/>
        <v>-</v>
      </c>
      <c r="E43" s="156" t="str">
        <f t="shared" ca="1" si="96"/>
        <v>-</v>
      </c>
      <c r="F43" s="184"/>
      <c r="G43" s="195"/>
      <c r="H43" s="239">
        <v>43.4</v>
      </c>
      <c r="I43" s="240">
        <v>12.58</v>
      </c>
      <c r="J43" s="241">
        <v>-28.04</v>
      </c>
      <c r="K43" s="181"/>
      <c r="L43" s="204">
        <f t="shared" ca="1" si="97"/>
        <v>43.4</v>
      </c>
      <c r="M43" s="95">
        <f t="shared" ca="1" si="98"/>
        <v>12.58</v>
      </c>
      <c r="N43" s="205">
        <f t="shared" ca="1" si="99"/>
        <v>-28.04</v>
      </c>
      <c r="O43" s="21"/>
      <c r="P43" s="157">
        <f t="shared" ca="1" si="100"/>
        <v>0</v>
      </c>
      <c r="Q43" s="215"/>
      <c r="R43" s="289">
        <f t="shared" ca="1" si="101"/>
        <v>0</v>
      </c>
      <c r="S43" s="290"/>
      <c r="T43" s="148"/>
      <c r="U43" s="291">
        <f t="shared" ca="1" si="102"/>
        <v>0</v>
      </c>
      <c r="V43" s="292"/>
      <c r="W43" s="23"/>
      <c r="X43" s="291">
        <f t="shared" ca="1" si="103"/>
        <v>0</v>
      </c>
      <c r="Y43" s="292"/>
      <c r="Z43" s="215"/>
      <c r="AA43" s="215"/>
      <c r="AB43" s="215"/>
      <c r="AC43" s="94"/>
      <c r="AD43" s="94"/>
      <c r="AE43" s="149"/>
      <c r="AF43" s="149"/>
      <c r="AG43" s="112">
        <f t="shared" ca="1" si="0"/>
        <v>40.770000000000003</v>
      </c>
      <c r="AH43" s="112">
        <f t="shared" ca="1" si="1"/>
        <v>0.3</v>
      </c>
      <c r="AI43" s="112">
        <f t="shared" ca="1" si="2"/>
        <v>-17.59</v>
      </c>
      <c r="AJ43" s="112">
        <f t="shared" ca="1" si="3"/>
        <v>17.592558085736137</v>
      </c>
      <c r="AK43" s="112">
        <f t="shared" ca="1" si="69"/>
        <v>270.97709309475437</v>
      </c>
      <c r="AL43" s="255"/>
      <c r="AM43" s="112">
        <f t="shared" si="4"/>
        <v>40.770000000000003</v>
      </c>
      <c r="AN43" s="112">
        <f t="shared" si="5"/>
        <v>0.3</v>
      </c>
      <c r="AO43" s="112">
        <f t="shared" si="6"/>
        <v>-17.59</v>
      </c>
      <c r="AP43" s="112">
        <f t="shared" si="7"/>
        <v>17.592558085736137</v>
      </c>
      <c r="AQ43" s="112">
        <f t="shared" si="70"/>
        <v>270.97709309475437</v>
      </c>
      <c r="AR43" s="255"/>
      <c r="AS43" s="112">
        <f t="shared" ca="1" si="8"/>
        <v>0</v>
      </c>
      <c r="AT43" s="112">
        <f t="shared" ca="1" si="9"/>
        <v>0</v>
      </c>
      <c r="AU43" s="112">
        <f t="shared" ca="1" si="10"/>
        <v>0</v>
      </c>
      <c r="AV43" s="112">
        <f t="shared" ca="1" si="11"/>
        <v>0</v>
      </c>
      <c r="AW43" s="112">
        <f t="shared" ca="1" si="83"/>
        <v>0</v>
      </c>
      <c r="AX43" s="109">
        <f t="shared" ca="1" si="13"/>
        <v>0</v>
      </c>
      <c r="AY43" s="112">
        <f t="shared" si="14"/>
        <v>0.97148172777181552</v>
      </c>
      <c r="AZ43" s="112">
        <f t="shared" si="15"/>
        <v>1.550181554420452</v>
      </c>
      <c r="BA43" s="112">
        <f t="shared" si="16"/>
        <v>0.93346736486871029</v>
      </c>
      <c r="BB43" s="112">
        <f t="shared" si="17"/>
        <v>0.59824028711312338</v>
      </c>
      <c r="BC43" s="112">
        <f t="shared" si="18"/>
        <v>0.99022751794253916</v>
      </c>
      <c r="BD43" s="112">
        <f t="shared" ca="1" si="19"/>
        <v>40.770000000000003</v>
      </c>
      <c r="BE43" s="112">
        <f t="shared" si="20"/>
        <v>17.592558085736137</v>
      </c>
      <c r="BF43" s="112">
        <f t="shared" ca="1" si="21"/>
        <v>17.592558085736137</v>
      </c>
      <c r="BG43" s="112">
        <f t="shared" ca="1" si="22"/>
        <v>17.592558085736137</v>
      </c>
      <c r="BH43" s="112">
        <f t="shared" ca="1" si="23"/>
        <v>0.35971019422073069</v>
      </c>
      <c r="BI43" s="112">
        <f t="shared" ca="1" si="24"/>
        <v>0.40791305826621921</v>
      </c>
      <c r="BJ43" s="112">
        <f t="shared" ca="1" si="25"/>
        <v>0.40791305826621921</v>
      </c>
      <c r="BK43" s="112">
        <f t="shared" ca="1" si="26"/>
        <v>17.594729127301282</v>
      </c>
      <c r="BL43" s="112">
        <f t="shared" ca="1" si="27"/>
        <v>17.594729127301282</v>
      </c>
      <c r="BM43" s="112">
        <f t="shared" ca="1" si="28"/>
        <v>17.594729127301282</v>
      </c>
      <c r="BN43" s="112">
        <f t="shared" ca="1" si="29"/>
        <v>271.32845414432143</v>
      </c>
      <c r="BO43" s="112">
        <f t="shared" ca="1" si="30"/>
        <v>271.32845414432143</v>
      </c>
      <c r="BP43" s="112">
        <f t="shared" ca="1" si="31"/>
        <v>271.32845414432143</v>
      </c>
      <c r="BQ43" s="112">
        <f t="shared" ca="1" si="32"/>
        <v>0.67942378800680658</v>
      </c>
      <c r="BR43" s="112">
        <f t="shared" ca="1" si="33"/>
        <v>0</v>
      </c>
      <c r="BS43" s="112">
        <f t="shared" ca="1" si="34"/>
        <v>0</v>
      </c>
      <c r="BT43" s="112">
        <f t="shared" ca="1" si="35"/>
        <v>0</v>
      </c>
      <c r="BU43" s="112">
        <f t="shared" ca="1" si="36"/>
        <v>0</v>
      </c>
      <c r="BV43" s="112">
        <f t="shared" ca="1" si="37"/>
        <v>1.1245952388773259</v>
      </c>
      <c r="BW43" s="112">
        <f t="shared" ca="1" si="38"/>
        <v>1.7917628107285575</v>
      </c>
      <c r="BX43" s="112">
        <f t="shared" ca="1" si="39"/>
        <v>1.1793141626893711</v>
      </c>
      <c r="BY43" s="112">
        <f t="shared" ca="1" si="40"/>
        <v>29.359876088239375</v>
      </c>
      <c r="BZ43" s="112">
        <f t="shared" ca="1" si="41"/>
        <v>0.56138254303237944</v>
      </c>
      <c r="CA43" s="112">
        <f t="shared" ca="1" si="42"/>
        <v>-0.47977878568294607</v>
      </c>
      <c r="CB43" s="112">
        <v>1</v>
      </c>
      <c r="CC43" s="112">
        <v>1</v>
      </c>
      <c r="CD43" s="112">
        <v>1</v>
      </c>
      <c r="CE43" s="112">
        <v>1</v>
      </c>
      <c r="CF43" s="109">
        <f t="shared" ca="1" si="43"/>
        <v>1.7916651138581261</v>
      </c>
      <c r="CG43" s="112">
        <f t="shared" ca="1" si="44"/>
        <v>1.263888371286042</v>
      </c>
      <c r="CH43" s="255"/>
      <c r="CI43" s="150" t="str">
        <f t="shared" ca="1" si="45"/>
        <v>C70M40Y0K40</v>
      </c>
      <c r="CJ43" s="125">
        <f t="shared" ca="1" si="46"/>
        <v>0</v>
      </c>
      <c r="CK43" s="125">
        <f t="shared" ca="1" si="47"/>
        <v>0</v>
      </c>
      <c r="CL43" s="125">
        <f t="shared" ca="1" si="48"/>
        <v>0</v>
      </c>
      <c r="CM43" s="124">
        <f t="shared" ca="1" si="49"/>
        <v>0</v>
      </c>
      <c r="CN43" s="112">
        <f t="shared" ca="1" si="50"/>
        <v>0</v>
      </c>
      <c r="CO43" s="112">
        <f t="shared" ca="1" si="51"/>
        <v>0</v>
      </c>
      <c r="CP43" s="112">
        <f t="shared" ca="1" si="52"/>
        <v>0</v>
      </c>
      <c r="CQ43" s="112" t="str">
        <f t="shared" ca="1" si="71"/>
        <v/>
      </c>
      <c r="CR43" s="112" t="str">
        <f t="shared" ca="1" si="72"/>
        <v/>
      </c>
      <c r="CS43" s="112" t="str">
        <f t="shared" ca="1" si="73"/>
        <v/>
      </c>
      <c r="CT43" s="112" t="str">
        <f t="shared" ca="1" si="74"/>
        <v/>
      </c>
      <c r="CU43" s="112" t="str">
        <f t="shared" ca="1" si="75"/>
        <v/>
      </c>
      <c r="CV43" s="112" t="str">
        <f t="shared" ca="1" si="76"/>
        <v/>
      </c>
      <c r="CW43" s="112" t="str">
        <f t="shared" ca="1" si="53"/>
        <v/>
      </c>
      <c r="CX43" s="112" t="str">
        <f t="shared" ca="1" si="77"/>
        <v/>
      </c>
      <c r="CY43" s="112" t="str">
        <f t="shared" ca="1" si="54"/>
        <v/>
      </c>
      <c r="CZ43" s="112" t="str">
        <f t="shared" ca="1" si="78"/>
        <v/>
      </c>
      <c r="DA43" s="112" t="str">
        <f t="shared" ca="1" si="55"/>
        <v/>
      </c>
      <c r="DB43" s="112" t="str">
        <f t="shared" ca="1" si="56"/>
        <v/>
      </c>
      <c r="DC43" s="112" t="str">
        <f t="shared" ca="1" si="57"/>
        <v/>
      </c>
      <c r="DD43" s="112" t="str">
        <f t="shared" ca="1" si="58"/>
        <v/>
      </c>
      <c r="DE43" s="112" t="str">
        <f t="shared" ca="1" si="59"/>
        <v/>
      </c>
      <c r="DF43" s="112" t="str">
        <f t="shared" ca="1" si="60"/>
        <v/>
      </c>
      <c r="DG43" s="125">
        <f t="shared" ca="1" si="61"/>
        <v>70</v>
      </c>
      <c r="DH43" s="125">
        <f t="shared" ca="1" si="62"/>
        <v>40</v>
      </c>
      <c r="DI43" s="125" t="str">
        <f t="shared" ca="1" si="63"/>
        <v>-</v>
      </c>
      <c r="DJ43" s="125">
        <f t="shared" ca="1" si="64"/>
        <v>40</v>
      </c>
      <c r="DK43" s="112">
        <f t="shared" ca="1" si="85"/>
        <v>0.11343477094354308</v>
      </c>
      <c r="DL43" s="112">
        <f t="shared" ca="1" si="86"/>
        <v>0.11721487128738882</v>
      </c>
      <c r="DM43" s="112">
        <f t="shared" ca="1" si="87"/>
        <v>0.15874901250063811</v>
      </c>
      <c r="DN43" s="112">
        <f t="shared" si="88"/>
        <v>0.11343477094354308</v>
      </c>
      <c r="DO43" s="112">
        <f t="shared" si="89"/>
        <v>0.11721487128738882</v>
      </c>
      <c r="DP43" s="112">
        <f t="shared" si="90"/>
        <v>0.15874901250063811</v>
      </c>
      <c r="DQ43" s="112">
        <f t="shared" ca="1" si="79"/>
        <v>40.770000000000003</v>
      </c>
      <c r="DR43" s="112">
        <f t="shared" ca="1" si="67"/>
        <v>0.3</v>
      </c>
      <c r="DS43" s="112">
        <f t="shared" ca="1" si="68"/>
        <v>-17.59</v>
      </c>
      <c r="DT43" s="112">
        <f t="shared" si="80"/>
        <v>40.770000000000003</v>
      </c>
      <c r="DU43" s="112">
        <f t="shared" si="81"/>
        <v>0.3</v>
      </c>
      <c r="DV43" s="112">
        <f t="shared" si="82"/>
        <v>-17.59</v>
      </c>
      <c r="DW43" s="260"/>
      <c r="DX43" s="168"/>
      <c r="DY43" s="168"/>
    </row>
    <row r="44" spans="1:129" s="151" customFormat="1" ht="14" customHeight="1">
      <c r="A44" s="158"/>
      <c r="B44" s="153">
        <f t="shared" ca="1" si="93"/>
        <v>70</v>
      </c>
      <c r="C44" s="154">
        <f t="shared" ca="1" si="94"/>
        <v>100</v>
      </c>
      <c r="D44" s="155" t="str">
        <f t="shared" ca="1" si="95"/>
        <v>-</v>
      </c>
      <c r="E44" s="156">
        <f t="shared" ca="1" si="96"/>
        <v>40</v>
      </c>
      <c r="F44" s="184"/>
      <c r="G44" s="195"/>
      <c r="H44" s="239">
        <v>33.07</v>
      </c>
      <c r="I44" s="240">
        <v>16.54</v>
      </c>
      <c r="J44" s="241">
        <v>-16.91</v>
      </c>
      <c r="K44" s="181"/>
      <c r="L44" s="204">
        <f t="shared" ca="1" si="97"/>
        <v>33.07</v>
      </c>
      <c r="M44" s="95">
        <f t="shared" ca="1" si="98"/>
        <v>16.54</v>
      </c>
      <c r="N44" s="205">
        <f t="shared" ca="1" si="99"/>
        <v>-16.91</v>
      </c>
      <c r="O44" s="21"/>
      <c r="P44" s="157">
        <f t="shared" ca="1" si="100"/>
        <v>0</v>
      </c>
      <c r="Q44" s="215"/>
      <c r="R44" s="289">
        <f t="shared" ca="1" si="101"/>
        <v>0</v>
      </c>
      <c r="S44" s="290"/>
      <c r="T44" s="148"/>
      <c r="U44" s="291">
        <f t="shared" ca="1" si="102"/>
        <v>0</v>
      </c>
      <c r="V44" s="292"/>
      <c r="W44" s="23"/>
      <c r="X44" s="291">
        <f t="shared" ca="1" si="103"/>
        <v>0</v>
      </c>
      <c r="Y44" s="292"/>
      <c r="Z44" s="215"/>
      <c r="AA44" s="215"/>
      <c r="AB44" s="215"/>
      <c r="AC44" s="94"/>
      <c r="AD44" s="94"/>
      <c r="AE44" s="149"/>
      <c r="AF44" s="149"/>
      <c r="AG44" s="112">
        <f t="shared" ca="1" si="0"/>
        <v>82</v>
      </c>
      <c r="AH44" s="112">
        <f t="shared" ca="1" si="1"/>
        <v>-2</v>
      </c>
      <c r="AI44" s="112">
        <f t="shared" ca="1" si="2"/>
        <v>72</v>
      </c>
      <c r="AJ44" s="112">
        <f t="shared" ca="1" si="3"/>
        <v>72.027772421476428</v>
      </c>
      <c r="AK44" s="112">
        <f t="shared" ca="1" si="69"/>
        <v>91.591140271194575</v>
      </c>
      <c r="AL44" s="255"/>
      <c r="AM44" s="112">
        <f t="shared" si="4"/>
        <v>82</v>
      </c>
      <c r="AN44" s="112">
        <f t="shared" si="5"/>
        <v>-2</v>
      </c>
      <c r="AO44" s="112">
        <f t="shared" si="6"/>
        <v>72</v>
      </c>
      <c r="AP44" s="112">
        <f t="shared" si="7"/>
        <v>72.027772421476428</v>
      </c>
      <c r="AQ44" s="112">
        <f t="shared" si="70"/>
        <v>91.591140271194575</v>
      </c>
      <c r="AR44" s="255"/>
      <c r="AS44" s="112">
        <f t="shared" ca="1" si="8"/>
        <v>0</v>
      </c>
      <c r="AT44" s="112">
        <f t="shared" ca="1" si="9"/>
        <v>0</v>
      </c>
      <c r="AU44" s="112">
        <f t="shared" ca="1" si="10"/>
        <v>0</v>
      </c>
      <c r="AV44" s="112">
        <f t="shared" ca="1" si="11"/>
        <v>0</v>
      </c>
      <c r="AW44" s="112">
        <f t="shared" ca="1" si="83"/>
        <v>0</v>
      </c>
      <c r="AX44" s="109">
        <f t="shared" ca="1" si="13"/>
        <v>0</v>
      </c>
      <c r="AY44" s="112">
        <f t="shared" si="14"/>
        <v>1.372921178441548</v>
      </c>
      <c r="AZ44" s="112">
        <f t="shared" si="15"/>
        <v>3.0024049329511922</v>
      </c>
      <c r="BA44" s="112">
        <f t="shared" si="16"/>
        <v>1.7968026332044935</v>
      </c>
      <c r="BB44" s="112">
        <f t="shared" si="17"/>
        <v>0.59844029080677863</v>
      </c>
      <c r="BC44" s="112">
        <f t="shared" si="18"/>
        <v>0.99996470601652465</v>
      </c>
      <c r="BD44" s="112">
        <f t="shared" ca="1" si="19"/>
        <v>82</v>
      </c>
      <c r="BE44" s="112">
        <f t="shared" si="20"/>
        <v>72.027772421476428</v>
      </c>
      <c r="BF44" s="112">
        <f t="shared" ca="1" si="21"/>
        <v>72.027772421476428</v>
      </c>
      <c r="BG44" s="112">
        <f t="shared" ca="1" si="22"/>
        <v>72.027772421476428</v>
      </c>
      <c r="BH44" s="112">
        <f t="shared" ca="1" si="23"/>
        <v>1.516430724890494E-4</v>
      </c>
      <c r="BI44" s="112">
        <f t="shared" ca="1" si="24"/>
        <v>-2.0003032861449781</v>
      </c>
      <c r="BJ44" s="112">
        <f t="shared" ca="1" si="25"/>
        <v>-2.0003032861449781</v>
      </c>
      <c r="BK44" s="112">
        <f t="shared" ca="1" si="26"/>
        <v>72.027780843481239</v>
      </c>
      <c r="BL44" s="112">
        <f t="shared" ca="1" si="27"/>
        <v>72.027780843481239</v>
      </c>
      <c r="BM44" s="112">
        <f t="shared" ca="1" si="28"/>
        <v>72.027780843481239</v>
      </c>
      <c r="BN44" s="112">
        <f t="shared" ca="1" si="29"/>
        <v>91.59138143253081</v>
      </c>
      <c r="BO44" s="112">
        <f t="shared" ca="1" si="30"/>
        <v>91.59138143253081</v>
      </c>
      <c r="BP44" s="112">
        <f t="shared" ca="1" si="31"/>
        <v>91.59138143253081</v>
      </c>
      <c r="BQ44" s="112">
        <f t="shared" ca="1" si="32"/>
        <v>0.62931609079470774</v>
      </c>
      <c r="BR44" s="112">
        <f t="shared" ca="1" si="33"/>
        <v>0</v>
      </c>
      <c r="BS44" s="112">
        <f t="shared" ca="1" si="34"/>
        <v>0</v>
      </c>
      <c r="BT44" s="112">
        <f t="shared" ca="1" si="35"/>
        <v>0</v>
      </c>
      <c r="BU44" s="112">
        <f t="shared" ca="1" si="36"/>
        <v>0</v>
      </c>
      <c r="BV44" s="112">
        <f t="shared" ca="1" si="37"/>
        <v>1.4753800657332528</v>
      </c>
      <c r="BW44" s="112">
        <f t="shared" ca="1" si="38"/>
        <v>4.241250137956655</v>
      </c>
      <c r="BX44" s="112">
        <f t="shared" ca="1" si="39"/>
        <v>1.6799236220355631</v>
      </c>
      <c r="BY44" s="112">
        <f t="shared" ca="1" si="40"/>
        <v>1.2663202373235454E-22</v>
      </c>
      <c r="BZ44" s="112">
        <f t="shared" ca="1" si="41"/>
        <v>1.9993934282062913</v>
      </c>
      <c r="CA44" s="112">
        <f t="shared" ca="1" si="42"/>
        <v>-8.8379017862257247E-24</v>
      </c>
      <c r="CB44" s="112">
        <v>1</v>
      </c>
      <c r="CC44" s="112">
        <v>1</v>
      </c>
      <c r="CD44" s="112">
        <v>1</v>
      </c>
      <c r="CE44" s="112">
        <v>1</v>
      </c>
      <c r="CF44" s="109">
        <f t="shared" ca="1" si="43"/>
        <v>4.2412497589664397</v>
      </c>
      <c r="CG44" s="112">
        <f t="shared" ca="1" si="44"/>
        <v>2.0804165863221464</v>
      </c>
      <c r="CH44" s="255"/>
      <c r="CI44" s="150" t="str">
        <f t="shared" ca="1" si="45"/>
        <v>C0M0Y100K0</v>
      </c>
      <c r="CJ44" s="125">
        <f t="shared" ca="1" si="46"/>
        <v>0</v>
      </c>
      <c r="CK44" s="125">
        <f t="shared" ca="1" si="47"/>
        <v>0</v>
      </c>
      <c r="CL44" s="125">
        <f t="shared" ca="1" si="48"/>
        <v>0</v>
      </c>
      <c r="CM44" s="124">
        <f t="shared" ca="1" si="49"/>
        <v>0</v>
      </c>
      <c r="CN44" s="112">
        <f t="shared" ca="1" si="50"/>
        <v>0</v>
      </c>
      <c r="CO44" s="112">
        <f t="shared" ca="1" si="51"/>
        <v>0</v>
      </c>
      <c r="CP44" s="112">
        <f t="shared" ca="1" si="52"/>
        <v>0</v>
      </c>
      <c r="CQ44" s="112" t="str">
        <f t="shared" ca="1" si="71"/>
        <v>C0M0Y100K0</v>
      </c>
      <c r="CR44" s="112">
        <f t="shared" ca="1" si="72"/>
        <v>0</v>
      </c>
      <c r="CS44" s="112">
        <f t="shared" ca="1" si="73"/>
        <v>0</v>
      </c>
      <c r="CT44" s="112" t="str">
        <f t="shared" ca="1" si="74"/>
        <v/>
      </c>
      <c r="CU44" s="112" t="str">
        <f t="shared" ca="1" si="75"/>
        <v/>
      </c>
      <c r="CV44" s="112" t="str">
        <f t="shared" ca="1" si="76"/>
        <v/>
      </c>
      <c r="CW44" s="112" t="str">
        <f t="shared" ca="1" si="53"/>
        <v/>
      </c>
      <c r="CX44" s="112" t="str">
        <f t="shared" ca="1" si="77"/>
        <v/>
      </c>
      <c r="CY44" s="112" t="str">
        <f t="shared" ca="1" si="54"/>
        <v/>
      </c>
      <c r="CZ44" s="112" t="str">
        <f t="shared" ca="1" si="78"/>
        <v/>
      </c>
      <c r="DA44" s="112" t="str">
        <f t="shared" ca="1" si="55"/>
        <v/>
      </c>
      <c r="DB44" s="112" t="str">
        <f t="shared" ca="1" si="56"/>
        <v/>
      </c>
      <c r="DC44" s="112" t="str">
        <f t="shared" ca="1" si="57"/>
        <v/>
      </c>
      <c r="DD44" s="112" t="str">
        <f t="shared" ca="1" si="58"/>
        <v/>
      </c>
      <c r="DE44" s="112" t="str">
        <f t="shared" ca="1" si="59"/>
        <v/>
      </c>
      <c r="DF44" s="112" t="str">
        <f t="shared" ca="1" si="60"/>
        <v/>
      </c>
      <c r="DG44" s="125" t="str">
        <f t="shared" ca="1" si="61"/>
        <v>-</v>
      </c>
      <c r="DH44" s="125" t="str">
        <f t="shared" ca="1" si="62"/>
        <v>-</v>
      </c>
      <c r="DI44" s="125">
        <f t="shared" ca="1" si="63"/>
        <v>100</v>
      </c>
      <c r="DJ44" s="125" t="str">
        <f t="shared" ca="1" si="64"/>
        <v>-</v>
      </c>
      <c r="DK44" s="112">
        <f t="shared" ca="1" si="85"/>
        <v>0.57317598031125827</v>
      </c>
      <c r="DL44" s="112">
        <f t="shared" ca="1" si="86"/>
        <v>0.60298187707573092</v>
      </c>
      <c r="DM44" s="112">
        <f t="shared" ca="1" si="87"/>
        <v>9.4007666368379206E-2</v>
      </c>
      <c r="DN44" s="112">
        <f t="shared" si="88"/>
        <v>0.57317598031125827</v>
      </c>
      <c r="DO44" s="112">
        <f t="shared" si="89"/>
        <v>0.60298187707573092</v>
      </c>
      <c r="DP44" s="112">
        <f t="shared" si="90"/>
        <v>9.4007666368379206E-2</v>
      </c>
      <c r="DQ44" s="112">
        <f t="shared" ca="1" si="79"/>
        <v>82</v>
      </c>
      <c r="DR44" s="112">
        <f t="shared" ca="1" si="67"/>
        <v>-2</v>
      </c>
      <c r="DS44" s="112">
        <f t="shared" ca="1" si="68"/>
        <v>72</v>
      </c>
      <c r="DT44" s="112">
        <f t="shared" si="80"/>
        <v>82</v>
      </c>
      <c r="DU44" s="112">
        <f t="shared" si="81"/>
        <v>-2</v>
      </c>
      <c r="DV44" s="112">
        <f t="shared" si="82"/>
        <v>72</v>
      </c>
      <c r="DW44" s="260"/>
      <c r="DX44" s="168"/>
      <c r="DY44" s="168"/>
    </row>
    <row r="45" spans="1:129" s="151" customFormat="1" ht="14" customHeight="1">
      <c r="A45" s="158"/>
      <c r="B45" s="153">
        <f t="shared" ca="1" si="93"/>
        <v>25</v>
      </c>
      <c r="C45" s="154" t="str">
        <f t="shared" ca="1" si="94"/>
        <v>-</v>
      </c>
      <c r="D45" s="155" t="str">
        <f t="shared" ca="1" si="95"/>
        <v>-</v>
      </c>
      <c r="E45" s="156" t="str">
        <f t="shared" ca="1" si="96"/>
        <v>-</v>
      </c>
      <c r="F45" s="184"/>
      <c r="G45" s="195"/>
      <c r="H45" s="239">
        <v>78.03</v>
      </c>
      <c r="I45" s="240">
        <v>-8.67</v>
      </c>
      <c r="J45" s="241">
        <v>-8.34</v>
      </c>
      <c r="K45" s="181"/>
      <c r="L45" s="204">
        <f t="shared" ca="1" si="97"/>
        <v>78.03</v>
      </c>
      <c r="M45" s="95">
        <f t="shared" ca="1" si="98"/>
        <v>-8.67</v>
      </c>
      <c r="N45" s="205">
        <f t="shared" ca="1" si="99"/>
        <v>-8.34</v>
      </c>
      <c r="O45" s="21"/>
      <c r="P45" s="157">
        <f t="shared" ca="1" si="100"/>
        <v>0</v>
      </c>
      <c r="Q45" s="215"/>
      <c r="R45" s="289">
        <f t="shared" ca="1" si="101"/>
        <v>0</v>
      </c>
      <c r="S45" s="290"/>
      <c r="T45" s="148"/>
      <c r="U45" s="291">
        <f t="shared" ca="1" si="102"/>
        <v>0</v>
      </c>
      <c r="V45" s="292"/>
      <c r="W45" s="23"/>
      <c r="X45" s="291">
        <f t="shared" ca="1" si="103"/>
        <v>0</v>
      </c>
      <c r="Y45" s="292"/>
      <c r="Z45" s="215"/>
      <c r="AA45" s="215"/>
      <c r="AB45" s="215"/>
      <c r="AC45" s="94"/>
      <c r="AD45" s="94"/>
      <c r="AE45" s="149"/>
      <c r="AF45" s="149"/>
      <c r="AG45" s="112">
        <f t="shared" ca="1" si="0"/>
        <v>29.23</v>
      </c>
      <c r="AH45" s="112">
        <f t="shared" ca="1" si="1"/>
        <v>-12.09</v>
      </c>
      <c r="AI45" s="112">
        <f t="shared" ca="1" si="2"/>
        <v>4.7300000000000004</v>
      </c>
      <c r="AJ45" s="112">
        <f t="shared" ca="1" si="3"/>
        <v>12.982334150683382</v>
      </c>
      <c r="AK45" s="112">
        <f t="shared" ca="1" si="69"/>
        <v>158.63295156919466</v>
      </c>
      <c r="AL45" s="255"/>
      <c r="AM45" s="112">
        <f t="shared" si="4"/>
        <v>29.23</v>
      </c>
      <c r="AN45" s="112">
        <f t="shared" si="5"/>
        <v>-12.09</v>
      </c>
      <c r="AO45" s="112">
        <f t="shared" si="6"/>
        <v>4.7300000000000004</v>
      </c>
      <c r="AP45" s="112">
        <f t="shared" si="7"/>
        <v>12.982334150683382</v>
      </c>
      <c r="AQ45" s="112">
        <f t="shared" si="70"/>
        <v>158.63295156919466</v>
      </c>
      <c r="AR45" s="255"/>
      <c r="AS45" s="112">
        <f t="shared" ca="1" si="8"/>
        <v>0</v>
      </c>
      <c r="AT45" s="112">
        <f t="shared" ca="1" si="9"/>
        <v>0</v>
      </c>
      <c r="AU45" s="112">
        <f t="shared" ca="1" si="10"/>
        <v>0</v>
      </c>
      <c r="AV45" s="112">
        <f t="shared" ca="1" si="11"/>
        <v>0</v>
      </c>
      <c r="AW45" s="112">
        <f t="shared" ca="1" si="83"/>
        <v>0</v>
      </c>
      <c r="AX45" s="109">
        <f t="shared" ca="1" si="13"/>
        <v>0</v>
      </c>
      <c r="AY45" s="112">
        <f t="shared" si="14"/>
        <v>0.79008624855243659</v>
      </c>
      <c r="AZ45" s="112">
        <f t="shared" si="15"/>
        <v>1.3458840803267593</v>
      </c>
      <c r="BA45" s="112">
        <f t="shared" si="16"/>
        <v>1.0184765669386187</v>
      </c>
      <c r="BB45" s="112">
        <f t="shared" si="17"/>
        <v>0.748730242588317</v>
      </c>
      <c r="BC45" s="112">
        <f t="shared" si="18"/>
        <v>0.96814579794449052</v>
      </c>
      <c r="BD45" s="112">
        <f t="shared" ca="1" si="19"/>
        <v>29.23</v>
      </c>
      <c r="BE45" s="112">
        <f t="shared" si="20"/>
        <v>12.982334150683382</v>
      </c>
      <c r="BF45" s="112">
        <f t="shared" ca="1" si="21"/>
        <v>12.982334150683382</v>
      </c>
      <c r="BG45" s="112">
        <f t="shared" ca="1" si="22"/>
        <v>12.982334150683382</v>
      </c>
      <c r="BH45" s="112">
        <f t="shared" ca="1" si="23"/>
        <v>0.44979873991250613</v>
      </c>
      <c r="BI45" s="112">
        <f t="shared" ca="1" si="24"/>
        <v>-17.528066765542199</v>
      </c>
      <c r="BJ45" s="112">
        <f t="shared" ca="1" si="25"/>
        <v>-17.528066765542199</v>
      </c>
      <c r="BK45" s="112">
        <f t="shared" ca="1" si="26"/>
        <v>18.15505506841841</v>
      </c>
      <c r="BL45" s="112">
        <f t="shared" ca="1" si="27"/>
        <v>18.15505506841841</v>
      </c>
      <c r="BM45" s="112">
        <f t="shared" ca="1" si="28"/>
        <v>18.15505506841841</v>
      </c>
      <c r="BN45" s="112">
        <f t="shared" ca="1" si="29"/>
        <v>164.89827963641235</v>
      </c>
      <c r="BO45" s="112">
        <f t="shared" ca="1" si="30"/>
        <v>164.89827963641235</v>
      </c>
      <c r="BP45" s="112">
        <f t="shared" ca="1" si="31"/>
        <v>164.89827963641235</v>
      </c>
      <c r="BQ45" s="112">
        <f t="shared" ca="1" si="32"/>
        <v>1.1899188456422611</v>
      </c>
      <c r="BR45" s="112">
        <f t="shared" ca="1" si="33"/>
        <v>0</v>
      </c>
      <c r="BS45" s="112">
        <f t="shared" ca="1" si="34"/>
        <v>0</v>
      </c>
      <c r="BT45" s="112">
        <f t="shared" ca="1" si="35"/>
        <v>0</v>
      </c>
      <c r="BU45" s="112">
        <f t="shared" ca="1" si="36"/>
        <v>0</v>
      </c>
      <c r="BV45" s="112">
        <f t="shared" ca="1" si="37"/>
        <v>1.304569836562385</v>
      </c>
      <c r="BW45" s="112">
        <f t="shared" ca="1" si="38"/>
        <v>1.8169774780788284</v>
      </c>
      <c r="BX45" s="112">
        <f t="shared" ca="1" si="39"/>
        <v>1.3240456325437617</v>
      </c>
      <c r="BY45" s="112">
        <f t="shared" ca="1" si="40"/>
        <v>1.1314170904452925E-7</v>
      </c>
      <c r="BZ45" s="112">
        <f t="shared" ca="1" si="41"/>
        <v>0.62051628930609659</v>
      </c>
      <c r="CA45" s="112">
        <f t="shared" ca="1" si="42"/>
        <v>-2.4506612549369765E-9</v>
      </c>
      <c r="CB45" s="112">
        <v>1</v>
      </c>
      <c r="CC45" s="112">
        <v>1</v>
      </c>
      <c r="CD45" s="112">
        <v>1</v>
      </c>
      <c r="CE45" s="112">
        <v>1</v>
      </c>
      <c r="CF45" s="109">
        <f t="shared" ca="1" si="43"/>
        <v>1.5842050367807521</v>
      </c>
      <c r="CG45" s="112">
        <f t="shared" ca="1" si="44"/>
        <v>1.1947350122602507</v>
      </c>
      <c r="CH45" s="255"/>
      <c r="CI45" s="150" t="str">
        <f t="shared" ca="1" si="45"/>
        <v>C100M0Y100K80</v>
      </c>
      <c r="CJ45" s="125">
        <f t="shared" ca="1" si="46"/>
        <v>0</v>
      </c>
      <c r="CK45" s="125">
        <f t="shared" ca="1" si="47"/>
        <v>0</v>
      </c>
      <c r="CL45" s="125">
        <f t="shared" ca="1" si="48"/>
        <v>0</v>
      </c>
      <c r="CM45" s="124">
        <f t="shared" ca="1" si="49"/>
        <v>0</v>
      </c>
      <c r="CN45" s="112">
        <f t="shared" ca="1" si="50"/>
        <v>0</v>
      </c>
      <c r="CO45" s="112">
        <f t="shared" ca="1" si="51"/>
        <v>0</v>
      </c>
      <c r="CP45" s="112">
        <f t="shared" ca="1" si="52"/>
        <v>0</v>
      </c>
      <c r="CQ45" s="112" t="str">
        <f t="shared" ca="1" si="71"/>
        <v/>
      </c>
      <c r="CR45" s="112" t="str">
        <f t="shared" ca="1" si="72"/>
        <v/>
      </c>
      <c r="CS45" s="112" t="str">
        <f t="shared" ca="1" si="73"/>
        <v/>
      </c>
      <c r="CT45" s="112" t="str">
        <f t="shared" ca="1" si="74"/>
        <v/>
      </c>
      <c r="CU45" s="112" t="str">
        <f t="shared" ca="1" si="75"/>
        <v/>
      </c>
      <c r="CV45" s="112" t="str">
        <f t="shared" ca="1" si="76"/>
        <v/>
      </c>
      <c r="CW45" s="112" t="str">
        <f t="shared" ca="1" si="53"/>
        <v/>
      </c>
      <c r="CX45" s="112" t="str">
        <f t="shared" ca="1" si="77"/>
        <v/>
      </c>
      <c r="CY45" s="112" t="str">
        <f t="shared" ca="1" si="54"/>
        <v/>
      </c>
      <c r="CZ45" s="112" t="str">
        <f t="shared" ca="1" si="78"/>
        <v/>
      </c>
      <c r="DA45" s="112" t="str">
        <f t="shared" ca="1" si="55"/>
        <v/>
      </c>
      <c r="DB45" s="112" t="str">
        <f t="shared" ca="1" si="56"/>
        <v/>
      </c>
      <c r="DC45" s="112" t="str">
        <f t="shared" ca="1" si="57"/>
        <v/>
      </c>
      <c r="DD45" s="112" t="str">
        <f t="shared" ca="1" si="58"/>
        <v/>
      </c>
      <c r="DE45" s="112" t="str">
        <f t="shared" ca="1" si="59"/>
        <v/>
      </c>
      <c r="DF45" s="112" t="str">
        <f t="shared" ca="1" si="60"/>
        <v/>
      </c>
      <c r="DG45" s="125">
        <f t="shared" ca="1" si="61"/>
        <v>100</v>
      </c>
      <c r="DH45" s="125" t="str">
        <f t="shared" ca="1" si="62"/>
        <v>-</v>
      </c>
      <c r="DI45" s="125">
        <f t="shared" ca="1" si="63"/>
        <v>100</v>
      </c>
      <c r="DJ45" s="125">
        <f t="shared" ca="1" si="64"/>
        <v>80</v>
      </c>
      <c r="DK45" s="112">
        <f t="shared" ca="1" si="85"/>
        <v>4.7169622182449251E-2</v>
      </c>
      <c r="DL45" s="112">
        <f t="shared" ca="1" si="86"/>
        <v>5.9279672487468751E-2</v>
      </c>
      <c r="DM45" s="112">
        <f t="shared" ca="1" si="87"/>
        <v>4.0530622107794706E-2</v>
      </c>
      <c r="DN45" s="112">
        <f t="shared" si="88"/>
        <v>4.7169622182449251E-2</v>
      </c>
      <c r="DO45" s="112">
        <f t="shared" si="89"/>
        <v>5.9279672487468751E-2</v>
      </c>
      <c r="DP45" s="112">
        <f t="shared" si="90"/>
        <v>4.0530622107794706E-2</v>
      </c>
      <c r="DQ45" s="112">
        <f t="shared" ca="1" si="79"/>
        <v>29.23</v>
      </c>
      <c r="DR45" s="112">
        <f t="shared" ca="1" si="67"/>
        <v>-12.09</v>
      </c>
      <c r="DS45" s="112">
        <f t="shared" ca="1" si="68"/>
        <v>4.7300000000000004</v>
      </c>
      <c r="DT45" s="112">
        <f t="shared" si="80"/>
        <v>29.23</v>
      </c>
      <c r="DU45" s="112">
        <f t="shared" si="81"/>
        <v>-12.09</v>
      </c>
      <c r="DV45" s="112">
        <f t="shared" si="82"/>
        <v>4.7300000000000004</v>
      </c>
      <c r="DW45" s="260"/>
      <c r="DX45" s="168"/>
      <c r="DY45" s="168"/>
    </row>
    <row r="46" spans="1:129" s="151" customFormat="1" ht="14" customHeight="1">
      <c r="A46" s="158"/>
      <c r="B46" s="153">
        <f t="shared" ca="1" si="93"/>
        <v>50</v>
      </c>
      <c r="C46" s="154">
        <f t="shared" ca="1" si="94"/>
        <v>50</v>
      </c>
      <c r="D46" s="155" t="str">
        <f t="shared" ca="1" si="95"/>
        <v>-</v>
      </c>
      <c r="E46" s="156" t="str">
        <f t="shared" ca="1" si="96"/>
        <v>-</v>
      </c>
      <c r="F46" s="184"/>
      <c r="G46" s="195"/>
      <c r="H46" s="239">
        <v>54.59</v>
      </c>
      <c r="I46" s="240">
        <v>10.73</v>
      </c>
      <c r="J46" s="241">
        <v>-21.01</v>
      </c>
      <c r="K46" s="181"/>
      <c r="L46" s="204">
        <f t="shared" ca="1" si="97"/>
        <v>54.59</v>
      </c>
      <c r="M46" s="95">
        <f t="shared" ca="1" si="98"/>
        <v>10.73</v>
      </c>
      <c r="N46" s="205">
        <f t="shared" ca="1" si="99"/>
        <v>-21.01</v>
      </c>
      <c r="O46" s="21"/>
      <c r="P46" s="157">
        <f t="shared" ca="1" si="100"/>
        <v>0</v>
      </c>
      <c r="Q46" s="215"/>
      <c r="R46" s="289">
        <f t="shared" ca="1" si="101"/>
        <v>0</v>
      </c>
      <c r="S46" s="290"/>
      <c r="T46" s="148"/>
      <c r="U46" s="291">
        <f t="shared" ca="1" si="102"/>
        <v>0</v>
      </c>
      <c r="V46" s="292"/>
      <c r="W46" s="23"/>
      <c r="X46" s="291">
        <f t="shared" ca="1" si="103"/>
        <v>0</v>
      </c>
      <c r="Y46" s="292"/>
      <c r="Z46" s="215"/>
      <c r="AA46" s="215"/>
      <c r="AB46" s="215"/>
      <c r="AC46" s="94"/>
      <c r="AD46" s="94"/>
      <c r="AE46" s="149"/>
      <c r="AF46" s="149"/>
      <c r="AG46" s="112">
        <f t="shared" ref="AG46:AG77" ca="1" si="104">L68</f>
        <v>39.68</v>
      </c>
      <c r="AH46" s="112">
        <f t="shared" ref="AH46:AH77" ca="1" si="105">M68</f>
        <v>17</v>
      </c>
      <c r="AI46" s="112">
        <f t="shared" ref="AI46:AI77" ca="1" si="106">N68</f>
        <v>-11.84</v>
      </c>
      <c r="AJ46" s="112">
        <f t="shared" ref="AJ46:AJ67" ca="1" si="107">SQRT(AH46^2+AI46^2)</f>
        <v>20.716795118936712</v>
      </c>
      <c r="AK46" s="112">
        <f t="shared" ref="AK46:AK67" ca="1" si="108">IF(DEGREES(ATAN2(AH46,AI46))&lt;0,DEGREES(ATAN2(AH46,AI46))+360,IF(DEGREES(ATAN2(AH46,AI46))&gt;360,DEGREES(ATAN2(AH46,AI46))-360,DEGREES(ATAN2(AH46,AI46))))</f>
        <v>325.14392334461672</v>
      </c>
      <c r="AL46" s="255"/>
      <c r="AM46" s="112">
        <f t="shared" ref="AM46:AM77" si="109">H68</f>
        <v>39.68</v>
      </c>
      <c r="AN46" s="112">
        <f t="shared" ref="AN46:AN77" si="110">I68</f>
        <v>17</v>
      </c>
      <c r="AO46" s="112">
        <f t="shared" ref="AO46:AO77" si="111">J68</f>
        <v>-11.84</v>
      </c>
      <c r="AP46" s="112">
        <f t="shared" ref="AP46:AP67" si="112">SQRT(AN46^2+AO46^2)</f>
        <v>20.716795118936712</v>
      </c>
      <c r="AQ46" s="112">
        <f t="shared" si="70"/>
        <v>325.14392334461672</v>
      </c>
      <c r="AR46" s="255"/>
      <c r="AS46" s="112">
        <f t="shared" ref="AS46:AS67" ca="1" si="113">AM46-AG46</f>
        <v>0</v>
      </c>
      <c r="AT46" s="112">
        <f t="shared" ref="AT46:AT67" ca="1" si="114">AN46-AH46</f>
        <v>0</v>
      </c>
      <c r="AU46" s="112">
        <f t="shared" ref="AU46:AU67" ca="1" si="115">AO46-AI46</f>
        <v>0</v>
      </c>
      <c r="AV46" s="112">
        <f t="shared" ref="AV46:AV67" ca="1" si="116">AP46-AJ46</f>
        <v>0</v>
      </c>
      <c r="AW46" s="112">
        <f t="shared" ca="1" si="83"/>
        <v>0</v>
      </c>
      <c r="AX46" s="109">
        <f t="shared" ref="AX46:AX67" ca="1" si="117">ABS((M68-I68)^2+(N68-J68)^2)^0.5</f>
        <v>0</v>
      </c>
      <c r="AY46" s="112">
        <f t="shared" ref="AY46:AY67" si="118">IF(AM46&lt;16,0.511,(0.040975*AM46)/(1+(0.01765*AM46)))</f>
        <v>0.95620671484492614</v>
      </c>
      <c r="AZ46" s="112">
        <f t="shared" ref="AZ46:AZ67" si="119">0.0638*AP46/(1+(0.0131*AP46))+0.638</f>
        <v>1.6775956487735955</v>
      </c>
      <c r="BA46" s="112">
        <f t="shared" ref="BA46:BA67" si="120">AZ46*(BC46*BB46+1-BC46)</f>
        <v>1.1714961998100764</v>
      </c>
      <c r="BB46" s="112">
        <f t="shared" ref="BB46:BB67" si="121">IF(AND(AQ46&gt;=164,AQ46&lt;=345),0.56+ABS(0.2*(COS(RADIANS(AQ46+168)))),0.36+ABS(0.4*(COS(RADIANS(AQ46+35)))))</f>
        <v>0.69676666406999288</v>
      </c>
      <c r="BC46" s="112">
        <f t="shared" ref="BC46:BC67" si="122">SQRT(AP46^4/(AP46^4+1900))</f>
        <v>0.99488212898289163</v>
      </c>
      <c r="BD46" s="112">
        <f t="shared" ref="BD46:BD67" ca="1" si="123">(AM46+AG46)/2</f>
        <v>39.68</v>
      </c>
      <c r="BE46" s="112">
        <f t="shared" ref="BE46:BE67" si="124">SQRT(AN46^2+AO46^2)</f>
        <v>20.716795118936712</v>
      </c>
      <c r="BF46" s="112">
        <f t="shared" ref="BF46:BF67" ca="1" si="125">SQRT(AH46^2+AI46^2)</f>
        <v>20.716795118936712</v>
      </c>
      <c r="BG46" s="112">
        <f t="shared" ref="BG46:BG67" ca="1" si="126">(BE46+BF46)/2</f>
        <v>20.716795118936712</v>
      </c>
      <c r="BH46" s="112">
        <f t="shared" ref="BH46:BH67" ca="1" si="127">(1-SQRT(BG46^7/(BG46^7+25^7)))/2</f>
        <v>0.27001902053535587</v>
      </c>
      <c r="BI46" s="112">
        <f t="shared" ref="BI46:BI67" ca="1" si="128">AN46*(1+BH46)</f>
        <v>21.590323349101048</v>
      </c>
      <c r="BJ46" s="112">
        <f t="shared" ref="BJ46:BJ67" ca="1" si="129">AH46*(1+BH46)</f>
        <v>21.590323349101048</v>
      </c>
      <c r="BK46" s="112">
        <f t="shared" ref="BK46:BK67" ca="1" si="130">SQRT(BI46^2+AO46^2)</f>
        <v>24.62372153673644</v>
      </c>
      <c r="BL46" s="112">
        <f t="shared" ref="BL46:BL67" ca="1" si="131">SQRT(BJ46^2+AI46^2)</f>
        <v>24.62372153673644</v>
      </c>
      <c r="BM46" s="112">
        <f t="shared" ref="BM46:BM67" ca="1" si="132">(BK46+BL46)/2</f>
        <v>24.62372153673644</v>
      </c>
      <c r="BN46" s="112">
        <f t="shared" ca="1" si="29"/>
        <v>331.2599083465434</v>
      </c>
      <c r="BO46" s="112">
        <f t="shared" ref="BO46:BO67" ca="1" si="133">IF(DEGREES(ATAN2(BJ46,AI46))&gt;=0,DEGREES(ATAN2(BJ46,AI46)),DEGREES(ATAN2(BJ46,AI46))+360)</f>
        <v>331.2599083465434</v>
      </c>
      <c r="BP46" s="112">
        <f t="shared" ref="BP46:BP67" ca="1" si="134">IF((BN46-BO46)&gt;180,(BN46+BO46+360)/2,(BN46+BO46)/2)</f>
        <v>331.2599083465434</v>
      </c>
      <c r="BQ46" s="112">
        <f t="shared" ref="BQ46:BQ67" ca="1" si="135">1-0.17*(COS(RADIANS(BP46-30)))+0.24*COS(RADIANS(2*BP46))+0.32*COS(RADIANS(3*BP46+6))-0.2*COS(RADIANS(4*BP46-63))</f>
        <v>1.295034061975648</v>
      </c>
      <c r="BR46" s="112">
        <f t="shared" ref="BR46:BR67" ca="1" si="136">IF((BO46-BN46)&lt;=180,BO46-BN46,IF(AND(BO46-BN46&gt;180,BO46&lt;=BN46),BO46-BN46+360,BO46-BN46-360))</f>
        <v>0</v>
      </c>
      <c r="BS46" s="112">
        <f t="shared" ref="BS46:BS67" ca="1" si="137">AG46-AM46</f>
        <v>0</v>
      </c>
      <c r="BT46" s="112">
        <f t="shared" ref="BT46:BT67" ca="1" si="138">BL46-BK46</f>
        <v>0</v>
      </c>
      <c r="BU46" s="112">
        <f t="shared" ref="BU46:BU67" ca="1" si="139">2*SQRT(BK46*BL46)*SIN(RADIANS(BR46/2))</f>
        <v>0</v>
      </c>
      <c r="BV46" s="112">
        <f t="shared" ref="BV46:BV67" ca="1" si="140">1+(0.015*(BD46-50)^2)/SQRT(20+(BD46-50)^2)</f>
        <v>1.1420369281304941</v>
      </c>
      <c r="BW46" s="112">
        <f t="shared" ref="BW46:BW67" ca="1" si="141">1+0.045*BM46</f>
        <v>2.1080674691531396</v>
      </c>
      <c r="BX46" s="112">
        <f t="shared" ref="BX46:BX67" ca="1" si="142">1+0.015*BM46*BQ46</f>
        <v>1.4783283718401554</v>
      </c>
      <c r="BY46" s="112">
        <f t="shared" ref="BY46:BY67" ca="1" si="143">30*EXP(-1*((BP46-275)/25)^2)</f>
        <v>0.1895530630055825</v>
      </c>
      <c r="BZ46" s="112">
        <f t="shared" ref="BZ46:BZ67" ca="1" si="144">2*SQRT(BM46^7/(BM46^7+25^7))</f>
        <v>1.3762051776447373</v>
      </c>
      <c r="CA46" s="112">
        <f t="shared" ref="CA46:CA67" ca="1" si="145">-SIN(2*RADIANS(BY46))*BZ46</f>
        <v>-9.1058017022625504E-3</v>
      </c>
      <c r="CB46" s="112">
        <v>1</v>
      </c>
      <c r="CC46" s="112">
        <v>1</v>
      </c>
      <c r="CD46" s="112">
        <v>1</v>
      </c>
      <c r="CE46" s="112">
        <v>1</v>
      </c>
      <c r="CF46" s="109">
        <f t="shared" ref="CF46:CF67" ca="1" si="146">1+0.045*AJ46</f>
        <v>1.9322557803521521</v>
      </c>
      <c r="CG46" s="112">
        <f t="shared" ref="CG46:CG67" ca="1" si="147">1+0.015*AJ46</f>
        <v>1.3107519267840506</v>
      </c>
      <c r="CH46" s="255"/>
      <c r="CI46" s="150" t="str">
        <f t="shared" ref="CI46:CI67" ca="1" si="148">INDEX(INDIRECT("CMYK_"&amp;VLOOKUP($B$31,$AI$2:$AJ$3,2,FALSE)),$AJ137,9)</f>
        <v>C40M70Y0K40</v>
      </c>
      <c r="CJ46" s="125">
        <f t="shared" ca="1" si="46"/>
        <v>0</v>
      </c>
      <c r="CK46" s="125">
        <f t="shared" ca="1" si="47"/>
        <v>0</v>
      </c>
      <c r="CL46" s="125">
        <f t="shared" ca="1" si="48"/>
        <v>0</v>
      </c>
      <c r="CM46" s="124">
        <f t="shared" ref="CM46:CM67" ca="1" si="149">SQRT((AS46/($AN$5*AY46))^2+(AV46/($AN$6*AZ46))^2+(AW46/BA46)^2)</f>
        <v>0</v>
      </c>
      <c r="CN46" s="112">
        <f t="shared" ref="CN46:CN67" ca="1" si="150">SQRT((BS46/(CB46*BV46))^2+(BT46/(CC46*BW46))^2+(BU46/(CD46*BX46))^2+CA46*(BT46/(CC46*BW46))*(BU46/(CD46*BX46)))</f>
        <v>0</v>
      </c>
      <c r="CO46" s="112">
        <f t="shared" ref="CO46:CO67" ca="1" si="151">SQRT(AS46^2+(AV46/CF46)^2+(AW46/CG46)^2)</f>
        <v>0</v>
      </c>
      <c r="CP46" s="112">
        <f t="shared" ref="CP46:CP67" ca="1" si="152">SQRT(AS46^2+AT46^2+AU46^2)</f>
        <v>0</v>
      </c>
      <c r="CQ46" s="112" t="str">
        <f t="shared" ca="1" si="71"/>
        <v/>
      </c>
      <c r="CR46" s="112" t="str">
        <f t="shared" ca="1" si="72"/>
        <v/>
      </c>
      <c r="CS46" s="112" t="str">
        <f t="shared" ca="1" si="73"/>
        <v/>
      </c>
      <c r="CT46" s="112" t="str">
        <f t="shared" ca="1" si="74"/>
        <v/>
      </c>
      <c r="CU46" s="112" t="str">
        <f t="shared" ca="1" si="75"/>
        <v/>
      </c>
      <c r="CV46" s="112" t="str">
        <f t="shared" ca="1" si="76"/>
        <v/>
      </c>
      <c r="CW46" s="112" t="str">
        <f t="shared" ca="1" si="53"/>
        <v/>
      </c>
      <c r="CX46" s="112" t="str">
        <f t="shared" ca="1" si="77"/>
        <v/>
      </c>
      <c r="CY46" s="112" t="str">
        <f t="shared" ca="1" si="54"/>
        <v/>
      </c>
      <c r="CZ46" s="112" t="str">
        <f t="shared" ca="1" si="78"/>
        <v/>
      </c>
      <c r="DA46" s="112" t="str">
        <f t="shared" ca="1" si="55"/>
        <v/>
      </c>
      <c r="DB46" s="112" t="str">
        <f t="shared" ca="1" si="56"/>
        <v/>
      </c>
      <c r="DC46" s="112" t="str">
        <f t="shared" ca="1" si="57"/>
        <v/>
      </c>
      <c r="DD46" s="112" t="str">
        <f t="shared" ref="DD46:DD77" ca="1" si="153">IF(DB46="","",AX46)</f>
        <v/>
      </c>
      <c r="DE46" s="112" t="str">
        <f t="shared" ca="1" si="59"/>
        <v/>
      </c>
      <c r="DF46" s="112" t="str">
        <f t="shared" ca="1" si="60"/>
        <v/>
      </c>
      <c r="DG46" s="125">
        <f t="shared" ref="DG46:DG67" ca="1" si="154">IF(INDEX(INDIRECT("CMYK_"&amp;VLOOKUP($B$31,$AI$2:$AJ$3,2,FALSE)),$AJ137,1)=0,"-",INDEX(INDIRECT("CMYK_"&amp;VLOOKUP($B$31,$AI$2:$AJ$3,2,FALSE)),$AJ137,1))</f>
        <v>40</v>
      </c>
      <c r="DH46" s="125">
        <f t="shared" ref="DH46:DH67" ca="1" si="155">IF(INDEX(INDIRECT("CMYK_"&amp;VLOOKUP($B$31,$AI$2:$AJ$3,2,FALSE)),$AJ137,2)=0,"-",INDEX(INDIRECT("CMYK_"&amp;VLOOKUP($B$31,$AI$2:$AJ$3,2,FALSE)),$AJ137,2))</f>
        <v>70</v>
      </c>
      <c r="DI46" s="125" t="str">
        <f t="shared" ref="DI46:DI67" ca="1" si="156">IF(INDEX(INDIRECT("CMYK_"&amp;VLOOKUP($B$31,$AI$2:$AJ$3,2,FALSE)),$AJ137,3)=0,"-",INDEX(INDIRECT("CMYK_"&amp;VLOOKUP($B$31,$AI$2:$AJ$3,2,FALSE)),$AJ137,3))</f>
        <v>-</v>
      </c>
      <c r="DJ46" s="125">
        <f t="shared" ref="DJ46:DJ67" ca="1" si="157">IF(INDEX(INDIRECT("CMYK_"&amp;VLOOKUP($B$31,$AI$2:$AJ$3,2,FALSE)),$AJ137,4)=0,"-",INDEX(INDIRECT("CMYK_"&amp;VLOOKUP($B$31,$AI$2:$AJ$3,2,FALSE)),$AJ137,4))</f>
        <v>40</v>
      </c>
      <c r="DK46" s="112">
        <f t="shared" ca="1" si="85"/>
        <v>0.1309352205648</v>
      </c>
      <c r="DL46" s="112">
        <f t="shared" ca="1" si="86"/>
        <v>0.110592</v>
      </c>
      <c r="DM46" s="112">
        <f t="shared" ca="1" si="87"/>
        <v>0.12931561041797121</v>
      </c>
      <c r="DN46" s="112">
        <f t="shared" ref="DN46:DN67" si="158">BS137</f>
        <v>0.1309352205648</v>
      </c>
      <c r="DO46" s="112">
        <f t="shared" ref="DO46:DO67" si="159">BT137</f>
        <v>0.110592</v>
      </c>
      <c r="DP46" s="112">
        <f t="shared" ref="DP46:DP67" si="160">BU137</f>
        <v>0.12931561041797121</v>
      </c>
      <c r="DQ46" s="112">
        <f t="shared" ca="1" si="79"/>
        <v>39.68</v>
      </c>
      <c r="DR46" s="112">
        <f t="shared" ca="1" si="67"/>
        <v>17</v>
      </c>
      <c r="DS46" s="112">
        <f t="shared" ca="1" si="68"/>
        <v>-11.84</v>
      </c>
      <c r="DT46" s="112">
        <f t="shared" si="80"/>
        <v>39.68</v>
      </c>
      <c r="DU46" s="112">
        <f t="shared" si="81"/>
        <v>17</v>
      </c>
      <c r="DV46" s="112">
        <f t="shared" si="82"/>
        <v>-11.84</v>
      </c>
      <c r="DW46" s="260"/>
      <c r="DX46" s="168"/>
      <c r="DY46" s="168"/>
    </row>
    <row r="47" spans="1:129" s="151" customFormat="1" ht="14" customHeight="1">
      <c r="A47" s="158"/>
      <c r="B47" s="153" t="str">
        <f t="shared" ca="1" si="93"/>
        <v>-</v>
      </c>
      <c r="C47" s="154">
        <f t="shared" ca="1" si="94"/>
        <v>100</v>
      </c>
      <c r="D47" s="155">
        <f t="shared" ca="1" si="95"/>
        <v>70</v>
      </c>
      <c r="E47" s="156">
        <f t="shared" ca="1" si="96"/>
        <v>40</v>
      </c>
      <c r="F47" s="184"/>
      <c r="G47" s="195"/>
      <c r="H47" s="239">
        <v>39.78</v>
      </c>
      <c r="I47" s="240">
        <v>34.08</v>
      </c>
      <c r="J47" s="241">
        <v>12.81</v>
      </c>
      <c r="K47" s="181"/>
      <c r="L47" s="204">
        <f t="shared" ca="1" si="97"/>
        <v>39.78</v>
      </c>
      <c r="M47" s="95">
        <f t="shared" ca="1" si="98"/>
        <v>34.08</v>
      </c>
      <c r="N47" s="205">
        <f t="shared" ca="1" si="99"/>
        <v>12.81</v>
      </c>
      <c r="O47" s="21"/>
      <c r="P47" s="157">
        <f t="shared" ca="1" si="100"/>
        <v>0</v>
      </c>
      <c r="Q47" s="215"/>
      <c r="R47" s="289">
        <f t="shared" ca="1" si="101"/>
        <v>0</v>
      </c>
      <c r="S47" s="290"/>
      <c r="T47" s="148"/>
      <c r="U47" s="291">
        <f t="shared" ca="1" si="102"/>
        <v>0</v>
      </c>
      <c r="V47" s="292"/>
      <c r="W47" s="23"/>
      <c r="X47" s="291">
        <f t="shared" ca="1" si="103"/>
        <v>0</v>
      </c>
      <c r="Y47" s="292"/>
      <c r="Z47" s="215"/>
      <c r="AA47" s="215"/>
      <c r="AB47" s="215"/>
      <c r="AC47" s="94"/>
      <c r="AD47" s="94"/>
      <c r="AE47" s="149"/>
      <c r="AF47" s="149"/>
      <c r="AG47" s="112">
        <f t="shared" ca="1" si="104"/>
        <v>82.55</v>
      </c>
      <c r="AH47" s="112">
        <f t="shared" ca="1" si="105"/>
        <v>-2.7</v>
      </c>
      <c r="AI47" s="112">
        <f t="shared" ca="1" si="106"/>
        <v>58.3</v>
      </c>
      <c r="AJ47" s="112">
        <f t="shared" ca="1" si="107"/>
        <v>58.362487952451097</v>
      </c>
      <c r="AK47" s="112">
        <f t="shared" ca="1" si="108"/>
        <v>92.651597713335264</v>
      </c>
      <c r="AL47" s="255"/>
      <c r="AM47" s="112">
        <f t="shared" si="109"/>
        <v>82.55</v>
      </c>
      <c r="AN47" s="112">
        <f t="shared" si="110"/>
        <v>-2.7</v>
      </c>
      <c r="AO47" s="112">
        <f t="shared" si="111"/>
        <v>58.3</v>
      </c>
      <c r="AP47" s="112">
        <f t="shared" si="112"/>
        <v>58.362487952451097</v>
      </c>
      <c r="AQ47" s="112">
        <f t="shared" si="70"/>
        <v>92.651597713335264</v>
      </c>
      <c r="AR47" s="255"/>
      <c r="AS47" s="112">
        <f t="shared" ca="1" si="113"/>
        <v>0</v>
      </c>
      <c r="AT47" s="112">
        <f t="shared" ca="1" si="114"/>
        <v>0</v>
      </c>
      <c r="AU47" s="112">
        <f t="shared" ca="1" si="115"/>
        <v>0</v>
      </c>
      <c r="AV47" s="112">
        <f t="shared" ca="1" si="116"/>
        <v>0</v>
      </c>
      <c r="AW47" s="112">
        <f t="shared" ca="1" si="83"/>
        <v>0</v>
      </c>
      <c r="AX47" s="109">
        <f t="shared" ca="1" si="117"/>
        <v>0</v>
      </c>
      <c r="AY47" s="112">
        <f t="shared" si="118"/>
        <v>1.3766690781367172</v>
      </c>
      <c r="AZ47" s="112">
        <f t="shared" si="119"/>
        <v>2.7481865643565375</v>
      </c>
      <c r="BA47" s="112">
        <f t="shared" si="120"/>
        <v>1.6609373387937942</v>
      </c>
      <c r="BB47" s="112">
        <f t="shared" si="121"/>
        <v>0.60434336512790143</v>
      </c>
      <c r="BC47" s="112">
        <f t="shared" si="122"/>
        <v>0.99991812806048386</v>
      </c>
      <c r="BD47" s="112">
        <f t="shared" ca="1" si="123"/>
        <v>82.55</v>
      </c>
      <c r="BE47" s="112">
        <f t="shared" si="124"/>
        <v>58.362487952451097</v>
      </c>
      <c r="BF47" s="112">
        <f t="shared" ca="1" si="125"/>
        <v>58.362487952451097</v>
      </c>
      <c r="BG47" s="112">
        <f t="shared" ca="1" si="126"/>
        <v>58.362487952451097</v>
      </c>
      <c r="BH47" s="112">
        <f t="shared" ca="1" si="127"/>
        <v>6.6027152501468844E-4</v>
      </c>
      <c r="BI47" s="112">
        <f t="shared" ca="1" si="128"/>
        <v>-2.7017827331175401</v>
      </c>
      <c r="BJ47" s="112">
        <f t="shared" ca="1" si="129"/>
        <v>-2.7017827331175401</v>
      </c>
      <c r="BK47" s="112">
        <f t="shared" ca="1" si="130"/>
        <v>58.362570453476188</v>
      </c>
      <c r="BL47" s="112">
        <f t="shared" ca="1" si="131"/>
        <v>58.362570453476188</v>
      </c>
      <c r="BM47" s="112">
        <f t="shared" ca="1" si="132"/>
        <v>58.362570453476188</v>
      </c>
      <c r="BN47" s="112">
        <f t="shared" ca="1" si="29"/>
        <v>92.653345986579438</v>
      </c>
      <c r="BO47" s="112">
        <f t="shared" ca="1" si="133"/>
        <v>92.653345986579438</v>
      </c>
      <c r="BP47" s="112">
        <f t="shared" ca="1" si="134"/>
        <v>92.653345986579438</v>
      </c>
      <c r="BQ47" s="112">
        <f t="shared" ca="1" si="135"/>
        <v>0.63806764095530943</v>
      </c>
      <c r="BR47" s="112">
        <f t="shared" ca="1" si="136"/>
        <v>0</v>
      </c>
      <c r="BS47" s="112">
        <f t="shared" ca="1" si="137"/>
        <v>0</v>
      </c>
      <c r="BT47" s="112">
        <f t="shared" ca="1" si="138"/>
        <v>0</v>
      </c>
      <c r="BU47" s="112">
        <f t="shared" ca="1" si="139"/>
        <v>0</v>
      </c>
      <c r="BV47" s="112">
        <f t="shared" ca="1" si="140"/>
        <v>1.4837059377745638</v>
      </c>
      <c r="BW47" s="112">
        <f t="shared" ca="1" si="141"/>
        <v>3.6263156704064285</v>
      </c>
      <c r="BX47" s="112">
        <f t="shared" ca="1" si="142"/>
        <v>1.5585890147400638</v>
      </c>
      <c r="BY47" s="112">
        <f t="shared" ca="1" si="143"/>
        <v>2.3574625730550261E-22</v>
      </c>
      <c r="BZ47" s="112">
        <f t="shared" ca="1" si="144"/>
        <v>1.9973589399820662</v>
      </c>
      <c r="CA47" s="112">
        <f t="shared" ca="1" si="145"/>
        <v>-1.64364600184537E-23</v>
      </c>
      <c r="CB47" s="112">
        <v>1</v>
      </c>
      <c r="CC47" s="112">
        <v>1</v>
      </c>
      <c r="CD47" s="112">
        <v>1</v>
      </c>
      <c r="CE47" s="112">
        <v>1</v>
      </c>
      <c r="CF47" s="109">
        <f t="shared" ca="1" si="146"/>
        <v>3.6263119578602994</v>
      </c>
      <c r="CG47" s="112">
        <f t="shared" ca="1" si="147"/>
        <v>1.8754373192867664</v>
      </c>
      <c r="CH47" s="255"/>
      <c r="CI47" s="150" t="str">
        <f t="shared" ca="1" si="148"/>
        <v>C0M0Y75K0</v>
      </c>
      <c r="CJ47" s="125">
        <f t="shared" ca="1" si="46"/>
        <v>0</v>
      </c>
      <c r="CK47" s="125">
        <f t="shared" ca="1" si="47"/>
        <v>0</v>
      </c>
      <c r="CL47" s="125">
        <f t="shared" ca="1" si="48"/>
        <v>0</v>
      </c>
      <c r="CM47" s="124">
        <f t="shared" ca="1" si="149"/>
        <v>0</v>
      </c>
      <c r="CN47" s="112">
        <f t="shared" ca="1" si="150"/>
        <v>0</v>
      </c>
      <c r="CO47" s="112">
        <f t="shared" ca="1" si="151"/>
        <v>0</v>
      </c>
      <c r="CP47" s="112">
        <f t="shared" ca="1" si="152"/>
        <v>0</v>
      </c>
      <c r="CQ47" s="112" t="str">
        <f t="shared" ca="1" si="71"/>
        <v/>
      </c>
      <c r="CR47" s="112" t="str">
        <f t="shared" ca="1" si="72"/>
        <v/>
      </c>
      <c r="CS47" s="112" t="str">
        <f t="shared" ca="1" si="73"/>
        <v/>
      </c>
      <c r="CT47" s="112" t="str">
        <f t="shared" ca="1" si="74"/>
        <v/>
      </c>
      <c r="CU47" s="112" t="str">
        <f t="shared" ca="1" si="75"/>
        <v/>
      </c>
      <c r="CV47" s="112" t="str">
        <f t="shared" ca="1" si="76"/>
        <v/>
      </c>
      <c r="CW47" s="112" t="str">
        <f t="shared" ca="1" si="53"/>
        <v/>
      </c>
      <c r="CX47" s="112" t="str">
        <f t="shared" ca="1" si="77"/>
        <v/>
      </c>
      <c r="CY47" s="112" t="str">
        <f t="shared" ca="1" si="54"/>
        <v/>
      </c>
      <c r="CZ47" s="112" t="str">
        <f t="shared" ca="1" si="78"/>
        <v/>
      </c>
      <c r="DA47" s="112" t="str">
        <f t="shared" ca="1" si="55"/>
        <v/>
      </c>
      <c r="DB47" s="112" t="str">
        <f t="shared" ca="1" si="56"/>
        <v/>
      </c>
      <c r="DC47" s="112" t="str">
        <f t="shared" ca="1" si="57"/>
        <v/>
      </c>
      <c r="DD47" s="112" t="str">
        <f t="shared" ca="1" si="153"/>
        <v/>
      </c>
      <c r="DE47" s="112" t="str">
        <f t="shared" ca="1" si="59"/>
        <v/>
      </c>
      <c r="DF47" s="112" t="str">
        <f t="shared" ca="1" si="60"/>
        <v/>
      </c>
      <c r="DG47" s="125" t="str">
        <f t="shared" ca="1" si="154"/>
        <v>-</v>
      </c>
      <c r="DH47" s="125" t="str">
        <f t="shared" ca="1" si="155"/>
        <v>-</v>
      </c>
      <c r="DI47" s="125">
        <f t="shared" ca="1" si="156"/>
        <v>75</v>
      </c>
      <c r="DJ47" s="125" t="str">
        <f t="shared" ca="1" si="157"/>
        <v>-</v>
      </c>
      <c r="DK47" s="112">
        <f t="shared" ca="1" si="85"/>
        <v>0.58003643297088958</v>
      </c>
      <c r="DL47" s="112">
        <f t="shared" ca="1" si="86"/>
        <v>0.613191206444888</v>
      </c>
      <c r="DM47" s="112">
        <f t="shared" ca="1" si="87"/>
        <v>0.14337219002866247</v>
      </c>
      <c r="DN47" s="112">
        <f t="shared" si="158"/>
        <v>0.58003643297088958</v>
      </c>
      <c r="DO47" s="112">
        <f t="shared" si="159"/>
        <v>0.613191206444888</v>
      </c>
      <c r="DP47" s="112">
        <f t="shared" si="160"/>
        <v>0.14337219002866247</v>
      </c>
      <c r="DQ47" s="112">
        <f t="shared" ca="1" si="79"/>
        <v>82.55</v>
      </c>
      <c r="DR47" s="112">
        <f t="shared" ca="1" si="67"/>
        <v>-2.7</v>
      </c>
      <c r="DS47" s="112">
        <f t="shared" ca="1" si="68"/>
        <v>58.3</v>
      </c>
      <c r="DT47" s="112">
        <f t="shared" si="80"/>
        <v>82.55</v>
      </c>
      <c r="DU47" s="112">
        <f t="shared" si="81"/>
        <v>-2.7</v>
      </c>
      <c r="DV47" s="112">
        <f t="shared" si="82"/>
        <v>58.3</v>
      </c>
      <c r="DW47" s="260"/>
      <c r="DX47" s="168"/>
      <c r="DY47" s="168"/>
    </row>
    <row r="48" spans="1:129" s="151" customFormat="1" ht="14" customHeight="1">
      <c r="A48" s="158"/>
      <c r="B48" s="153">
        <f t="shared" ca="1" si="93"/>
        <v>10</v>
      </c>
      <c r="C48" s="154" t="str">
        <f t="shared" ca="1" si="94"/>
        <v>-</v>
      </c>
      <c r="D48" s="155" t="str">
        <f t="shared" ca="1" si="95"/>
        <v>-</v>
      </c>
      <c r="E48" s="156" t="str">
        <f t="shared" ca="1" si="96"/>
        <v>-</v>
      </c>
      <c r="F48" s="184"/>
      <c r="G48" s="195"/>
      <c r="H48" s="239">
        <v>83.22</v>
      </c>
      <c r="I48" s="240">
        <v>-3.68</v>
      </c>
      <c r="J48" s="241">
        <v>-1.78</v>
      </c>
      <c r="K48" s="181"/>
      <c r="L48" s="204">
        <f t="shared" ca="1" si="97"/>
        <v>83.22</v>
      </c>
      <c r="M48" s="95">
        <f t="shared" ca="1" si="98"/>
        <v>-3.68</v>
      </c>
      <c r="N48" s="205">
        <f t="shared" ca="1" si="99"/>
        <v>-1.78</v>
      </c>
      <c r="O48" s="21"/>
      <c r="P48" s="157">
        <f t="shared" ca="1" si="100"/>
        <v>0</v>
      </c>
      <c r="Q48" s="215"/>
      <c r="R48" s="289">
        <f t="shared" ca="1" si="101"/>
        <v>0</v>
      </c>
      <c r="S48" s="290"/>
      <c r="T48" s="148"/>
      <c r="U48" s="291">
        <f t="shared" ca="1" si="102"/>
        <v>0</v>
      </c>
      <c r="V48" s="292"/>
      <c r="W48" s="23"/>
      <c r="X48" s="291">
        <f t="shared" ca="1" si="103"/>
        <v>0</v>
      </c>
      <c r="Y48" s="292"/>
      <c r="Z48" s="215"/>
      <c r="AA48" s="215"/>
      <c r="AB48" s="215"/>
      <c r="AC48" s="94"/>
      <c r="AD48" s="94"/>
      <c r="AE48" s="149"/>
      <c r="AF48" s="149"/>
      <c r="AG48" s="112">
        <f t="shared" ca="1" si="104"/>
        <v>51</v>
      </c>
      <c r="AH48" s="112">
        <f t="shared" ca="1" si="105"/>
        <v>-44</v>
      </c>
      <c r="AI48" s="112">
        <f t="shared" ca="1" si="106"/>
        <v>19</v>
      </c>
      <c r="AJ48" s="112">
        <f t="shared" ca="1" si="107"/>
        <v>47.927027865287037</v>
      </c>
      <c r="AK48" s="112">
        <f t="shared" ca="1" si="108"/>
        <v>156.64443514071399</v>
      </c>
      <c r="AL48" s="255"/>
      <c r="AM48" s="112">
        <f t="shared" si="109"/>
        <v>51</v>
      </c>
      <c r="AN48" s="112">
        <f t="shared" si="110"/>
        <v>-44</v>
      </c>
      <c r="AO48" s="112">
        <f t="shared" si="111"/>
        <v>19</v>
      </c>
      <c r="AP48" s="112">
        <f t="shared" si="112"/>
        <v>47.927027865287037</v>
      </c>
      <c r="AQ48" s="112">
        <f t="shared" si="70"/>
        <v>156.64443514071399</v>
      </c>
      <c r="AR48" s="255"/>
      <c r="AS48" s="112">
        <f t="shared" ca="1" si="113"/>
        <v>0</v>
      </c>
      <c r="AT48" s="112">
        <f t="shared" ca="1" si="114"/>
        <v>0</v>
      </c>
      <c r="AU48" s="112">
        <f t="shared" ca="1" si="115"/>
        <v>0</v>
      </c>
      <c r="AV48" s="112">
        <f t="shared" ca="1" si="116"/>
        <v>0</v>
      </c>
      <c r="AW48" s="112">
        <f t="shared" ca="1" si="83"/>
        <v>0</v>
      </c>
      <c r="AX48" s="109">
        <f t="shared" ca="1" si="117"/>
        <v>0</v>
      </c>
      <c r="AY48" s="112">
        <f t="shared" si="118"/>
        <v>1.0997684393337368</v>
      </c>
      <c r="AZ48" s="112">
        <f t="shared" si="119"/>
        <v>2.5164012814759871</v>
      </c>
      <c r="BA48" s="112">
        <f t="shared" si="120"/>
        <v>1.8918614037209456</v>
      </c>
      <c r="BB48" s="112">
        <f t="shared" si="121"/>
        <v>0.75176760446173252</v>
      </c>
      <c r="BC48" s="112">
        <f t="shared" si="122"/>
        <v>0.99981999509482922</v>
      </c>
      <c r="BD48" s="112">
        <f t="shared" ca="1" si="123"/>
        <v>51</v>
      </c>
      <c r="BE48" s="112">
        <f t="shared" si="124"/>
        <v>47.927027865287037</v>
      </c>
      <c r="BF48" s="112">
        <f t="shared" ca="1" si="125"/>
        <v>47.927027865287037</v>
      </c>
      <c r="BG48" s="112">
        <f t="shared" ca="1" si="126"/>
        <v>47.927027865287037</v>
      </c>
      <c r="BH48" s="112">
        <f t="shared" ca="1" si="127"/>
        <v>2.6064554925493977E-3</v>
      </c>
      <c r="BI48" s="112">
        <f t="shared" ca="1" si="128"/>
        <v>-44.11468404167217</v>
      </c>
      <c r="BJ48" s="112">
        <f t="shared" ca="1" si="129"/>
        <v>-44.11468404167217</v>
      </c>
      <c r="BK48" s="112">
        <f t="shared" ca="1" si="130"/>
        <v>48.032336483837277</v>
      </c>
      <c r="BL48" s="112">
        <f t="shared" ca="1" si="131"/>
        <v>48.032336483837277</v>
      </c>
      <c r="BM48" s="112">
        <f t="shared" ca="1" si="132"/>
        <v>48.032336483837277</v>
      </c>
      <c r="BN48" s="112">
        <f t="shared" ca="1" si="29"/>
        <v>156.69866832161023</v>
      </c>
      <c r="BO48" s="112">
        <f t="shared" ca="1" si="133"/>
        <v>156.69866832161023</v>
      </c>
      <c r="BP48" s="112">
        <f t="shared" ca="1" si="134"/>
        <v>156.69866832161023</v>
      </c>
      <c r="BQ48" s="112">
        <f t="shared" ca="1" si="135"/>
        <v>1.3087249429888326</v>
      </c>
      <c r="BR48" s="112">
        <f t="shared" ca="1" si="136"/>
        <v>0</v>
      </c>
      <c r="BS48" s="112">
        <f t="shared" ca="1" si="137"/>
        <v>0</v>
      </c>
      <c r="BT48" s="112">
        <f t="shared" ca="1" si="138"/>
        <v>0</v>
      </c>
      <c r="BU48" s="112">
        <f t="shared" ca="1" si="139"/>
        <v>0</v>
      </c>
      <c r="BV48" s="112">
        <f t="shared" ca="1" si="140"/>
        <v>1.0032732683535399</v>
      </c>
      <c r="BW48" s="112">
        <f t="shared" ca="1" si="141"/>
        <v>3.1614551417726773</v>
      </c>
      <c r="BX48" s="112">
        <f t="shared" ca="1" si="142"/>
        <v>1.9429167523964554</v>
      </c>
      <c r="BY48" s="112">
        <f t="shared" ca="1" si="143"/>
        <v>5.652710109760266E-9</v>
      </c>
      <c r="BZ48" s="112">
        <f t="shared" ca="1" si="144"/>
        <v>1.9897319142477714</v>
      </c>
      <c r="CA48" s="112">
        <f t="shared" ca="1" si="145"/>
        <v>-3.9260754641842039E-10</v>
      </c>
      <c r="CB48" s="112">
        <v>1</v>
      </c>
      <c r="CC48" s="112">
        <v>1</v>
      </c>
      <c r="CD48" s="112">
        <v>1</v>
      </c>
      <c r="CE48" s="112">
        <v>1</v>
      </c>
      <c r="CF48" s="109">
        <f t="shared" ca="1" si="146"/>
        <v>3.1567162539379168</v>
      </c>
      <c r="CG48" s="112">
        <f t="shared" ca="1" si="147"/>
        <v>1.7189054179793055</v>
      </c>
      <c r="CH48" s="255"/>
      <c r="CI48" s="150" t="str">
        <f t="shared" ca="1" si="148"/>
        <v>C100M0Y100K0</v>
      </c>
      <c r="CJ48" s="125">
        <f t="shared" ca="1" si="46"/>
        <v>0</v>
      </c>
      <c r="CK48" s="125">
        <f t="shared" ca="1" si="47"/>
        <v>0</v>
      </c>
      <c r="CL48" s="125">
        <f t="shared" ca="1" si="48"/>
        <v>0</v>
      </c>
      <c r="CM48" s="124">
        <f t="shared" ca="1" si="149"/>
        <v>0</v>
      </c>
      <c r="CN48" s="112">
        <f t="shared" ca="1" si="150"/>
        <v>0</v>
      </c>
      <c r="CO48" s="112">
        <f t="shared" ca="1" si="151"/>
        <v>0</v>
      </c>
      <c r="CP48" s="112">
        <f t="shared" ca="1" si="152"/>
        <v>0</v>
      </c>
      <c r="CQ48" s="112" t="str">
        <f t="shared" ca="1" si="71"/>
        <v/>
      </c>
      <c r="CR48" s="112" t="str">
        <f t="shared" ca="1" si="72"/>
        <v/>
      </c>
      <c r="CS48" s="112" t="str">
        <f t="shared" ca="1" si="73"/>
        <v/>
      </c>
      <c r="CT48" s="112" t="str">
        <f t="shared" ca="1" si="74"/>
        <v>C100M0Y100K0</v>
      </c>
      <c r="CU48" s="112">
        <f t="shared" ca="1" si="75"/>
        <v>0</v>
      </c>
      <c r="CV48" s="112">
        <f t="shared" ca="1" si="76"/>
        <v>0</v>
      </c>
      <c r="CW48" s="112" t="str">
        <f t="shared" ca="1" si="53"/>
        <v/>
      </c>
      <c r="CX48" s="112" t="str">
        <f t="shared" ca="1" si="77"/>
        <v/>
      </c>
      <c r="CY48" s="112" t="str">
        <f t="shared" ca="1" si="54"/>
        <v/>
      </c>
      <c r="CZ48" s="112" t="str">
        <f t="shared" ca="1" si="78"/>
        <v/>
      </c>
      <c r="DA48" s="112" t="str">
        <f t="shared" ca="1" si="55"/>
        <v/>
      </c>
      <c r="DB48" s="112" t="str">
        <f t="shared" ca="1" si="56"/>
        <v/>
      </c>
      <c r="DC48" s="112" t="str">
        <f t="shared" ca="1" si="57"/>
        <v/>
      </c>
      <c r="DD48" s="112" t="str">
        <f t="shared" ca="1" si="153"/>
        <v/>
      </c>
      <c r="DE48" s="112" t="str">
        <f t="shared" ca="1" si="59"/>
        <v/>
      </c>
      <c r="DF48" s="112" t="str">
        <f t="shared" ca="1" si="60"/>
        <v/>
      </c>
      <c r="DG48" s="125">
        <f t="shared" ca="1" si="154"/>
        <v>100</v>
      </c>
      <c r="DH48" s="125" t="str">
        <f t="shared" ca="1" si="155"/>
        <v>-</v>
      </c>
      <c r="DI48" s="125">
        <f t="shared" ca="1" si="156"/>
        <v>100</v>
      </c>
      <c r="DJ48" s="125" t="str">
        <f t="shared" ca="1" si="157"/>
        <v>-</v>
      </c>
      <c r="DK48" s="112">
        <f t="shared" ca="1" si="85"/>
        <v>0.11315002362392745</v>
      </c>
      <c r="DL48" s="112">
        <f t="shared" ca="1" si="86"/>
        <v>0.19268612386731723</v>
      </c>
      <c r="DM48" s="112">
        <f t="shared" ca="1" si="87"/>
        <v>9.2709879865590539E-2</v>
      </c>
      <c r="DN48" s="112">
        <f t="shared" si="158"/>
        <v>0.11315002362392745</v>
      </c>
      <c r="DO48" s="112">
        <f t="shared" si="159"/>
        <v>0.19268612386731723</v>
      </c>
      <c r="DP48" s="112">
        <f t="shared" si="160"/>
        <v>9.2709879865590539E-2</v>
      </c>
      <c r="DQ48" s="112">
        <f t="shared" ca="1" si="79"/>
        <v>51</v>
      </c>
      <c r="DR48" s="112">
        <f t="shared" ca="1" si="67"/>
        <v>-44</v>
      </c>
      <c r="DS48" s="112">
        <f t="shared" ca="1" si="68"/>
        <v>19</v>
      </c>
      <c r="DT48" s="112">
        <f t="shared" si="80"/>
        <v>51</v>
      </c>
      <c r="DU48" s="112">
        <f t="shared" si="81"/>
        <v>-44</v>
      </c>
      <c r="DV48" s="112">
        <f t="shared" si="82"/>
        <v>19</v>
      </c>
      <c r="DW48" s="260"/>
      <c r="DX48" s="168"/>
      <c r="DY48" s="168"/>
    </row>
    <row r="49" spans="1:129" s="151" customFormat="1" ht="14" customHeight="1">
      <c r="A49" s="158"/>
      <c r="B49" s="153">
        <f t="shared" ca="1" si="93"/>
        <v>25</v>
      </c>
      <c r="C49" s="154">
        <f t="shared" ca="1" si="94"/>
        <v>25</v>
      </c>
      <c r="D49" s="155" t="str">
        <f t="shared" ca="1" si="95"/>
        <v>-</v>
      </c>
      <c r="E49" s="156" t="str">
        <f t="shared" ca="1" si="96"/>
        <v>-</v>
      </c>
      <c r="F49" s="184"/>
      <c r="G49" s="195"/>
      <c r="H49" s="239">
        <v>68.42</v>
      </c>
      <c r="I49" s="240">
        <v>6.51</v>
      </c>
      <c r="J49" s="241">
        <v>-11.04</v>
      </c>
      <c r="K49" s="181"/>
      <c r="L49" s="204">
        <f t="shared" ca="1" si="97"/>
        <v>68.42</v>
      </c>
      <c r="M49" s="95">
        <f t="shared" ca="1" si="98"/>
        <v>6.51</v>
      </c>
      <c r="N49" s="205">
        <f t="shared" ca="1" si="99"/>
        <v>-11.04</v>
      </c>
      <c r="O49" s="21"/>
      <c r="P49" s="157">
        <f t="shared" ca="1" si="100"/>
        <v>0</v>
      </c>
      <c r="Q49" s="215"/>
      <c r="R49" s="289">
        <f t="shared" ca="1" si="101"/>
        <v>0</v>
      </c>
      <c r="S49" s="290"/>
      <c r="T49" s="148"/>
      <c r="U49" s="291">
        <f t="shared" ca="1" si="102"/>
        <v>0</v>
      </c>
      <c r="V49" s="292"/>
      <c r="W49" s="23"/>
      <c r="X49" s="291">
        <f t="shared" ca="1" si="103"/>
        <v>0</v>
      </c>
      <c r="Y49" s="292"/>
      <c r="Z49" s="215"/>
      <c r="AA49" s="215"/>
      <c r="AB49" s="215"/>
      <c r="AC49" s="94"/>
      <c r="AD49" s="94"/>
      <c r="AE49" s="149"/>
      <c r="AF49" s="149"/>
      <c r="AG49" s="112">
        <f t="shared" ca="1" si="104"/>
        <v>44.39</v>
      </c>
      <c r="AH49" s="112">
        <f t="shared" ca="1" si="105"/>
        <v>26.03</v>
      </c>
      <c r="AI49" s="112">
        <f t="shared" ca="1" si="106"/>
        <v>9.07</v>
      </c>
      <c r="AJ49" s="112">
        <f t="shared" ca="1" si="107"/>
        <v>27.564937874045718</v>
      </c>
      <c r="AK49" s="112">
        <f t="shared" ca="1" si="108"/>
        <v>19.210590053777665</v>
      </c>
      <c r="AL49" s="255"/>
      <c r="AM49" s="112">
        <f t="shared" si="109"/>
        <v>44.39</v>
      </c>
      <c r="AN49" s="112">
        <f t="shared" si="110"/>
        <v>26.03</v>
      </c>
      <c r="AO49" s="112">
        <f t="shared" si="111"/>
        <v>9.07</v>
      </c>
      <c r="AP49" s="112">
        <f t="shared" si="112"/>
        <v>27.564937874045718</v>
      </c>
      <c r="AQ49" s="112">
        <f t="shared" si="70"/>
        <v>19.210590053777665</v>
      </c>
      <c r="AR49" s="255"/>
      <c r="AS49" s="112">
        <f t="shared" ca="1" si="113"/>
        <v>0</v>
      </c>
      <c r="AT49" s="112">
        <f t="shared" ca="1" si="114"/>
        <v>0</v>
      </c>
      <c r="AU49" s="112">
        <f t="shared" ca="1" si="115"/>
        <v>0</v>
      </c>
      <c r="AV49" s="112">
        <f t="shared" ca="1" si="116"/>
        <v>0</v>
      </c>
      <c r="AW49" s="112">
        <f t="shared" ca="1" si="83"/>
        <v>0</v>
      </c>
      <c r="AX49" s="109">
        <f t="shared" ca="1" si="117"/>
        <v>0</v>
      </c>
      <c r="AY49" s="112">
        <f t="shared" si="118"/>
        <v>1.0198469736333415</v>
      </c>
      <c r="AZ49" s="112">
        <f t="shared" si="119"/>
        <v>1.9300741678109086</v>
      </c>
      <c r="BA49" s="112">
        <f t="shared" si="120"/>
        <v>1.1476021300189096</v>
      </c>
      <c r="BB49" s="112">
        <f t="shared" si="121"/>
        <v>0.59392310200440157</v>
      </c>
      <c r="BC49" s="112">
        <f t="shared" si="122"/>
        <v>0.99835855927143091</v>
      </c>
      <c r="BD49" s="112">
        <f t="shared" ca="1" si="123"/>
        <v>44.39</v>
      </c>
      <c r="BE49" s="112">
        <f t="shared" si="124"/>
        <v>27.564937874045718</v>
      </c>
      <c r="BF49" s="112">
        <f t="shared" ca="1" si="125"/>
        <v>27.564937874045718</v>
      </c>
      <c r="BG49" s="112">
        <f t="shared" ca="1" si="126"/>
        <v>27.564937874045718</v>
      </c>
      <c r="BH49" s="112">
        <f t="shared" ca="1" si="127"/>
        <v>9.2397296725893807E-2</v>
      </c>
      <c r="BI49" s="112">
        <f t="shared" ca="1" si="128"/>
        <v>28.435101633775012</v>
      </c>
      <c r="BJ49" s="112">
        <f t="shared" ca="1" si="129"/>
        <v>28.435101633775012</v>
      </c>
      <c r="BK49" s="112">
        <f t="shared" ca="1" si="130"/>
        <v>29.846606254700287</v>
      </c>
      <c r="BL49" s="112">
        <f t="shared" ca="1" si="131"/>
        <v>29.846606254700287</v>
      </c>
      <c r="BM49" s="112">
        <f t="shared" ca="1" si="132"/>
        <v>29.846606254700287</v>
      </c>
      <c r="BN49" s="112">
        <f t="shared" ca="1" si="29"/>
        <v>17.691224489571251</v>
      </c>
      <c r="BO49" s="112">
        <f t="shared" ca="1" si="133"/>
        <v>17.691224489571251</v>
      </c>
      <c r="BP49" s="112">
        <f t="shared" ca="1" si="134"/>
        <v>17.691224489571251</v>
      </c>
      <c r="BQ49" s="112">
        <f t="shared" ca="1" si="135"/>
        <v>0.99587423911315898</v>
      </c>
      <c r="BR49" s="112">
        <f t="shared" ca="1" si="136"/>
        <v>0</v>
      </c>
      <c r="BS49" s="112">
        <f t="shared" ca="1" si="137"/>
        <v>0</v>
      </c>
      <c r="BT49" s="112">
        <f t="shared" ca="1" si="138"/>
        <v>0</v>
      </c>
      <c r="BU49" s="112">
        <f t="shared" ca="1" si="139"/>
        <v>0</v>
      </c>
      <c r="BV49" s="112">
        <f t="shared" ca="1" si="140"/>
        <v>1.0658007794181728</v>
      </c>
      <c r="BW49" s="112">
        <f t="shared" ca="1" si="141"/>
        <v>2.343097281461513</v>
      </c>
      <c r="BX49" s="112">
        <f t="shared" ca="1" si="142"/>
        <v>1.4458519944101456</v>
      </c>
      <c r="BY49" s="112">
        <f t="shared" ca="1" si="143"/>
        <v>2.9595494352012681E-45</v>
      </c>
      <c r="BZ49" s="112">
        <f t="shared" ca="1" si="144"/>
        <v>1.7613948170543043</v>
      </c>
      <c r="CA49" s="112">
        <f t="shared" ca="1" si="145"/>
        <v>-1.8196576014082295E-46</v>
      </c>
      <c r="CB49" s="112">
        <v>1</v>
      </c>
      <c r="CC49" s="112">
        <v>1</v>
      </c>
      <c r="CD49" s="112">
        <v>1</v>
      </c>
      <c r="CE49" s="112">
        <v>1</v>
      </c>
      <c r="CF49" s="109">
        <f t="shared" ca="1" si="146"/>
        <v>2.2404222043320572</v>
      </c>
      <c r="CG49" s="112">
        <f t="shared" ca="1" si="147"/>
        <v>1.4134740681106859</v>
      </c>
      <c r="CH49" s="255"/>
      <c r="CI49" s="150" t="str">
        <f t="shared" ca="1" si="148"/>
        <v>C0M70Y40K40</v>
      </c>
      <c r="CJ49" s="125">
        <f t="shared" ca="1" si="46"/>
        <v>0</v>
      </c>
      <c r="CK49" s="125">
        <f t="shared" ca="1" si="47"/>
        <v>0</v>
      </c>
      <c r="CL49" s="125">
        <f t="shared" ca="1" si="48"/>
        <v>0</v>
      </c>
      <c r="CM49" s="124">
        <f t="shared" ca="1" si="149"/>
        <v>0</v>
      </c>
      <c r="CN49" s="112">
        <f t="shared" ca="1" si="150"/>
        <v>0</v>
      </c>
      <c r="CO49" s="112">
        <f t="shared" ca="1" si="151"/>
        <v>0</v>
      </c>
      <c r="CP49" s="112">
        <f t="shared" ca="1" si="152"/>
        <v>0</v>
      </c>
      <c r="CQ49" s="112" t="str">
        <f t="shared" ca="1" si="71"/>
        <v/>
      </c>
      <c r="CR49" s="112" t="str">
        <f t="shared" ca="1" si="72"/>
        <v/>
      </c>
      <c r="CS49" s="112" t="str">
        <f t="shared" ca="1" si="73"/>
        <v/>
      </c>
      <c r="CT49" s="112" t="str">
        <f t="shared" ca="1" si="74"/>
        <v/>
      </c>
      <c r="CU49" s="112" t="str">
        <f t="shared" ca="1" si="75"/>
        <v/>
      </c>
      <c r="CV49" s="112" t="str">
        <f t="shared" ca="1" si="76"/>
        <v/>
      </c>
      <c r="CW49" s="112" t="str">
        <f t="shared" ca="1" si="53"/>
        <v/>
      </c>
      <c r="CX49" s="112" t="str">
        <f t="shared" ca="1" si="77"/>
        <v/>
      </c>
      <c r="CY49" s="112" t="str">
        <f t="shared" ca="1" si="54"/>
        <v/>
      </c>
      <c r="CZ49" s="112" t="str">
        <f t="shared" ca="1" si="78"/>
        <v/>
      </c>
      <c r="DA49" s="112" t="str">
        <f t="shared" ca="1" si="55"/>
        <v/>
      </c>
      <c r="DB49" s="112" t="str">
        <f t="shared" ca="1" si="56"/>
        <v/>
      </c>
      <c r="DC49" s="112" t="str">
        <f t="shared" ca="1" si="57"/>
        <v/>
      </c>
      <c r="DD49" s="112" t="str">
        <f t="shared" ca="1" si="153"/>
        <v/>
      </c>
      <c r="DE49" s="112" t="str">
        <f t="shared" ca="1" si="59"/>
        <v/>
      </c>
      <c r="DF49" s="112" t="str">
        <f t="shared" ca="1" si="60"/>
        <v/>
      </c>
      <c r="DG49" s="125" t="str">
        <f t="shared" ca="1" si="154"/>
        <v>-</v>
      </c>
      <c r="DH49" s="125">
        <f t="shared" ca="1" si="155"/>
        <v>70</v>
      </c>
      <c r="DI49" s="125">
        <f t="shared" ca="1" si="156"/>
        <v>40</v>
      </c>
      <c r="DJ49" s="125">
        <f t="shared" ca="1" si="157"/>
        <v>40</v>
      </c>
      <c r="DK49" s="112">
        <f t="shared" ca="1" si="85"/>
        <v>0.18107792918396168</v>
      </c>
      <c r="DL49" s="112">
        <f t="shared" ca="1" si="86"/>
        <v>0.14109808553484662</v>
      </c>
      <c r="DM49" s="112">
        <f t="shared" ca="1" si="87"/>
        <v>8.8547669115399422E-2</v>
      </c>
      <c r="DN49" s="112">
        <f t="shared" si="158"/>
        <v>0.18107792918396168</v>
      </c>
      <c r="DO49" s="112">
        <f t="shared" si="159"/>
        <v>0.14109808553484662</v>
      </c>
      <c r="DP49" s="112">
        <f t="shared" si="160"/>
        <v>8.8547669115399422E-2</v>
      </c>
      <c r="DQ49" s="112">
        <f t="shared" ca="1" si="79"/>
        <v>44.39</v>
      </c>
      <c r="DR49" s="112">
        <f t="shared" ca="1" si="67"/>
        <v>26.03</v>
      </c>
      <c r="DS49" s="112">
        <f t="shared" ca="1" si="68"/>
        <v>9.07</v>
      </c>
      <c r="DT49" s="112">
        <f t="shared" si="80"/>
        <v>44.39</v>
      </c>
      <c r="DU49" s="112">
        <f t="shared" si="81"/>
        <v>26.03</v>
      </c>
      <c r="DV49" s="112">
        <f t="shared" si="82"/>
        <v>9.07</v>
      </c>
      <c r="DW49" s="260"/>
      <c r="DX49" s="168"/>
      <c r="DY49" s="168"/>
    </row>
    <row r="50" spans="1:129" s="151" customFormat="1" ht="14" customHeight="1">
      <c r="A50" s="158"/>
      <c r="B50" s="153" t="str">
        <f t="shared" ca="1" si="93"/>
        <v>-</v>
      </c>
      <c r="C50" s="154">
        <f t="shared" ca="1" si="94"/>
        <v>100</v>
      </c>
      <c r="D50" s="155">
        <f t="shared" ca="1" si="95"/>
        <v>100</v>
      </c>
      <c r="E50" s="156">
        <f t="shared" ca="1" si="96"/>
        <v>40</v>
      </c>
      <c r="F50" s="184"/>
      <c r="G50" s="195"/>
      <c r="H50" s="239">
        <v>39.68</v>
      </c>
      <c r="I50" s="240">
        <v>33.54</v>
      </c>
      <c r="J50" s="241">
        <v>17.52</v>
      </c>
      <c r="K50" s="181"/>
      <c r="L50" s="204">
        <f t="shared" ca="1" si="97"/>
        <v>39.68</v>
      </c>
      <c r="M50" s="95">
        <f t="shared" ca="1" si="98"/>
        <v>33.54</v>
      </c>
      <c r="N50" s="205">
        <f t="shared" ca="1" si="99"/>
        <v>17.52</v>
      </c>
      <c r="O50" s="21"/>
      <c r="P50" s="157">
        <f t="shared" ca="1" si="100"/>
        <v>0</v>
      </c>
      <c r="Q50" s="215"/>
      <c r="R50" s="289">
        <f t="shared" ca="1" si="101"/>
        <v>0</v>
      </c>
      <c r="S50" s="290"/>
      <c r="T50" s="148"/>
      <c r="U50" s="291">
        <f t="shared" ca="1" si="102"/>
        <v>0</v>
      </c>
      <c r="V50" s="292"/>
      <c r="W50" s="23"/>
      <c r="X50" s="291">
        <f t="shared" ca="1" si="103"/>
        <v>0</v>
      </c>
      <c r="Y50" s="292"/>
      <c r="Z50" s="215"/>
      <c r="AA50" s="215"/>
      <c r="AB50" s="215"/>
      <c r="AC50" s="94"/>
      <c r="AD50" s="94"/>
      <c r="AE50" s="149"/>
      <c r="AF50" s="149"/>
      <c r="AG50" s="112">
        <f t="shared" ca="1" si="104"/>
        <v>83.64</v>
      </c>
      <c r="AH50" s="112">
        <f t="shared" ca="1" si="105"/>
        <v>-2.73</v>
      </c>
      <c r="AI50" s="112">
        <f t="shared" ca="1" si="106"/>
        <v>40.340000000000003</v>
      </c>
      <c r="AJ50" s="112">
        <f t="shared" ca="1" si="107"/>
        <v>40.432270527389385</v>
      </c>
      <c r="AK50" s="112">
        <f t="shared" ca="1" si="108"/>
        <v>93.871575144853352</v>
      </c>
      <c r="AL50" s="255"/>
      <c r="AM50" s="112">
        <f t="shared" si="109"/>
        <v>83.64</v>
      </c>
      <c r="AN50" s="112">
        <f t="shared" si="110"/>
        <v>-2.73</v>
      </c>
      <c r="AO50" s="112">
        <f t="shared" si="111"/>
        <v>40.340000000000003</v>
      </c>
      <c r="AP50" s="112">
        <f t="shared" si="112"/>
        <v>40.432270527389385</v>
      </c>
      <c r="AQ50" s="112">
        <f t="shared" si="70"/>
        <v>93.871575144853352</v>
      </c>
      <c r="AR50" s="255"/>
      <c r="AS50" s="112">
        <f t="shared" ca="1" si="113"/>
        <v>0</v>
      </c>
      <c r="AT50" s="112">
        <f t="shared" ca="1" si="114"/>
        <v>0</v>
      </c>
      <c r="AU50" s="112">
        <f t="shared" ca="1" si="115"/>
        <v>0</v>
      </c>
      <c r="AV50" s="112">
        <f t="shared" ca="1" si="116"/>
        <v>0</v>
      </c>
      <c r="AW50" s="112">
        <f t="shared" ca="1" si="83"/>
        <v>0</v>
      </c>
      <c r="AX50" s="109">
        <f t="shared" ca="1" si="117"/>
        <v>0</v>
      </c>
      <c r="AY50" s="112">
        <f t="shared" si="118"/>
        <v>1.3840099085470507</v>
      </c>
      <c r="AZ50" s="112">
        <f t="shared" si="119"/>
        <v>2.3243709794328615</v>
      </c>
      <c r="BA50" s="112">
        <f t="shared" si="120"/>
        <v>1.4205833734912643</v>
      </c>
      <c r="BB50" s="112">
        <f t="shared" si="121"/>
        <v>0.61103075530839845</v>
      </c>
      <c r="BC50" s="112">
        <f t="shared" si="122"/>
        <v>0.99964471277918732</v>
      </c>
      <c r="BD50" s="112">
        <f t="shared" ca="1" si="123"/>
        <v>83.64</v>
      </c>
      <c r="BE50" s="112">
        <f t="shared" si="124"/>
        <v>40.432270527389385</v>
      </c>
      <c r="BF50" s="112">
        <f t="shared" ca="1" si="125"/>
        <v>40.432270527389385</v>
      </c>
      <c r="BG50" s="112">
        <f t="shared" ca="1" si="126"/>
        <v>40.432270527389385</v>
      </c>
      <c r="BH50" s="112">
        <f t="shared" ca="1" si="127"/>
        <v>8.420599333796297E-3</v>
      </c>
      <c r="BI50" s="112">
        <f t="shared" ca="1" si="128"/>
        <v>-2.7529882361812636</v>
      </c>
      <c r="BJ50" s="112">
        <f t="shared" ca="1" si="129"/>
        <v>-2.7529882361812636</v>
      </c>
      <c r="BK50" s="112">
        <f t="shared" ca="1" si="130"/>
        <v>40.433829205611396</v>
      </c>
      <c r="BL50" s="112">
        <f t="shared" ca="1" si="131"/>
        <v>40.433829205611396</v>
      </c>
      <c r="BM50" s="112">
        <f t="shared" ca="1" si="132"/>
        <v>40.433829205611396</v>
      </c>
      <c r="BN50" s="112">
        <f t="shared" ca="1" si="29"/>
        <v>93.904075731284152</v>
      </c>
      <c r="BO50" s="112">
        <f t="shared" ca="1" si="133"/>
        <v>93.904075731284152</v>
      </c>
      <c r="BP50" s="112">
        <f t="shared" ca="1" si="134"/>
        <v>93.904075731284152</v>
      </c>
      <c r="BQ50" s="112">
        <f t="shared" ca="1" si="135"/>
        <v>0.64938491163569778</v>
      </c>
      <c r="BR50" s="112">
        <f t="shared" ca="1" si="136"/>
        <v>0</v>
      </c>
      <c r="BS50" s="112">
        <f t="shared" ca="1" si="137"/>
        <v>0</v>
      </c>
      <c r="BT50" s="112">
        <f t="shared" ca="1" si="138"/>
        <v>0</v>
      </c>
      <c r="BU50" s="112">
        <f t="shared" ca="1" si="139"/>
        <v>0</v>
      </c>
      <c r="BV50" s="112">
        <f t="shared" ca="1" si="140"/>
        <v>1.5001992690620918</v>
      </c>
      <c r="BW50" s="112">
        <f t="shared" ca="1" si="141"/>
        <v>2.819522314252513</v>
      </c>
      <c r="BX50" s="112">
        <f t="shared" ca="1" si="142"/>
        <v>1.3938567790866827</v>
      </c>
      <c r="BY50" s="112">
        <f t="shared" ca="1" si="143"/>
        <v>4.8787808788467465E-22</v>
      </c>
      <c r="BZ50" s="112">
        <f t="shared" ca="1" si="144"/>
        <v>1.9663264623136469</v>
      </c>
      <c r="CA50" s="112">
        <f t="shared" ca="1" si="145"/>
        <v>-3.3486850261687282E-23</v>
      </c>
      <c r="CB50" s="112">
        <v>1</v>
      </c>
      <c r="CC50" s="112">
        <v>1</v>
      </c>
      <c r="CD50" s="112">
        <v>1</v>
      </c>
      <c r="CE50" s="112">
        <v>1</v>
      </c>
      <c r="CF50" s="109">
        <f t="shared" ca="1" si="146"/>
        <v>2.8194521737325222</v>
      </c>
      <c r="CG50" s="112">
        <f t="shared" ca="1" si="147"/>
        <v>1.6064840579108406</v>
      </c>
      <c r="CH50" s="255"/>
      <c r="CI50" s="150" t="str">
        <f t="shared" ca="1" si="148"/>
        <v>C0M0Y50K0</v>
      </c>
      <c r="CJ50" s="125">
        <f t="shared" ca="1" si="46"/>
        <v>0</v>
      </c>
      <c r="CK50" s="125">
        <f t="shared" ca="1" si="47"/>
        <v>0</v>
      </c>
      <c r="CL50" s="125">
        <f t="shared" ca="1" si="48"/>
        <v>0</v>
      </c>
      <c r="CM50" s="124">
        <f t="shared" ca="1" si="149"/>
        <v>0</v>
      </c>
      <c r="CN50" s="112">
        <f t="shared" ca="1" si="150"/>
        <v>0</v>
      </c>
      <c r="CO50" s="112">
        <f t="shared" ca="1" si="151"/>
        <v>0</v>
      </c>
      <c r="CP50" s="112">
        <f t="shared" ca="1" si="152"/>
        <v>0</v>
      </c>
      <c r="CQ50" s="112" t="str">
        <f t="shared" ca="1" si="71"/>
        <v/>
      </c>
      <c r="CR50" s="112" t="str">
        <f t="shared" ca="1" si="72"/>
        <v/>
      </c>
      <c r="CS50" s="112" t="str">
        <f t="shared" ca="1" si="73"/>
        <v/>
      </c>
      <c r="CT50" s="112" t="str">
        <f t="shared" ca="1" si="74"/>
        <v/>
      </c>
      <c r="CU50" s="112" t="str">
        <f t="shared" ca="1" si="75"/>
        <v/>
      </c>
      <c r="CV50" s="112" t="str">
        <f t="shared" ca="1" si="76"/>
        <v/>
      </c>
      <c r="CW50" s="112" t="str">
        <f t="shared" ca="1" si="53"/>
        <v/>
      </c>
      <c r="CX50" s="112" t="str">
        <f t="shared" ca="1" si="77"/>
        <v/>
      </c>
      <c r="CY50" s="112" t="str">
        <f t="shared" ca="1" si="54"/>
        <v/>
      </c>
      <c r="CZ50" s="112" t="str">
        <f t="shared" ca="1" si="78"/>
        <v/>
      </c>
      <c r="DA50" s="112" t="str">
        <f t="shared" ca="1" si="55"/>
        <v/>
      </c>
      <c r="DB50" s="112" t="str">
        <f t="shared" ca="1" si="56"/>
        <v/>
      </c>
      <c r="DC50" s="112" t="str">
        <f t="shared" ca="1" si="57"/>
        <v/>
      </c>
      <c r="DD50" s="112" t="str">
        <f t="shared" ca="1" si="153"/>
        <v/>
      </c>
      <c r="DE50" s="112" t="str">
        <f t="shared" ca="1" si="59"/>
        <v/>
      </c>
      <c r="DF50" s="112" t="str">
        <f t="shared" ca="1" si="60"/>
        <v/>
      </c>
      <c r="DG50" s="125" t="str">
        <f t="shared" ca="1" si="154"/>
        <v>-</v>
      </c>
      <c r="DH50" s="125" t="str">
        <f t="shared" ca="1" si="155"/>
        <v>-</v>
      </c>
      <c r="DI50" s="125">
        <f t="shared" ca="1" si="156"/>
        <v>50</v>
      </c>
      <c r="DJ50" s="125" t="str">
        <f t="shared" ca="1" si="157"/>
        <v>-</v>
      </c>
      <c r="DK50" s="112">
        <f t="shared" ca="1" si="85"/>
        <v>0.59949577351737082</v>
      </c>
      <c r="DL50" s="112">
        <f t="shared" ca="1" si="86"/>
        <v>0.63376344954692676</v>
      </c>
      <c r="DM50" s="112">
        <f t="shared" ca="1" si="87"/>
        <v>0.23421993051450812</v>
      </c>
      <c r="DN50" s="112">
        <f t="shared" si="158"/>
        <v>0.59949577351737082</v>
      </c>
      <c r="DO50" s="112">
        <f t="shared" si="159"/>
        <v>0.63376344954692676</v>
      </c>
      <c r="DP50" s="112">
        <f t="shared" si="160"/>
        <v>0.23421993051450812</v>
      </c>
      <c r="DQ50" s="112">
        <f t="shared" ca="1" si="79"/>
        <v>83.64</v>
      </c>
      <c r="DR50" s="112">
        <f t="shared" ca="1" si="67"/>
        <v>-2.73</v>
      </c>
      <c r="DS50" s="112">
        <f t="shared" ca="1" si="68"/>
        <v>40.340000000000003</v>
      </c>
      <c r="DT50" s="112">
        <f t="shared" si="80"/>
        <v>83.64</v>
      </c>
      <c r="DU50" s="112">
        <f t="shared" si="81"/>
        <v>-2.73</v>
      </c>
      <c r="DV50" s="112">
        <f t="shared" si="82"/>
        <v>40.340000000000003</v>
      </c>
      <c r="DW50" s="260"/>
      <c r="DX50" s="168"/>
      <c r="DY50" s="168"/>
    </row>
    <row r="51" spans="1:129" s="151" customFormat="1" ht="14" customHeight="1">
      <c r="A51" s="158"/>
      <c r="B51" s="153" t="str">
        <f t="shared" ca="1" si="93"/>
        <v>-</v>
      </c>
      <c r="C51" s="154">
        <f t="shared" ca="1" si="94"/>
        <v>100</v>
      </c>
      <c r="D51" s="155" t="str">
        <f t="shared" ca="1" si="95"/>
        <v>-</v>
      </c>
      <c r="E51" s="156" t="str">
        <f t="shared" ca="1" si="96"/>
        <v>-</v>
      </c>
      <c r="F51" s="184"/>
      <c r="G51" s="195"/>
      <c r="H51" s="239">
        <v>52</v>
      </c>
      <c r="I51" s="240">
        <v>58</v>
      </c>
      <c r="J51" s="241">
        <v>-2</v>
      </c>
      <c r="K51" s="181"/>
      <c r="L51" s="204">
        <f t="shared" ca="1" si="97"/>
        <v>52</v>
      </c>
      <c r="M51" s="95">
        <f t="shared" ca="1" si="98"/>
        <v>58</v>
      </c>
      <c r="N51" s="205">
        <f t="shared" ca="1" si="99"/>
        <v>-2</v>
      </c>
      <c r="O51" s="21"/>
      <c r="P51" s="157">
        <f t="shared" ca="1" si="100"/>
        <v>0</v>
      </c>
      <c r="Q51" s="215"/>
      <c r="R51" s="289">
        <f t="shared" ca="1" si="101"/>
        <v>0</v>
      </c>
      <c r="S51" s="290"/>
      <c r="T51" s="148"/>
      <c r="U51" s="291">
        <f t="shared" ca="1" si="102"/>
        <v>0</v>
      </c>
      <c r="V51" s="292"/>
      <c r="W51" s="23"/>
      <c r="X51" s="291">
        <f t="shared" ca="1" si="103"/>
        <v>0</v>
      </c>
      <c r="Y51" s="292"/>
      <c r="Z51" s="215"/>
      <c r="AA51" s="215"/>
      <c r="AB51" s="215"/>
      <c r="AC51" s="94"/>
      <c r="AD51" s="94"/>
      <c r="AE51" s="149"/>
      <c r="AF51" s="149"/>
      <c r="AG51" s="112">
        <f t="shared" ca="1" si="104"/>
        <v>58.35</v>
      </c>
      <c r="AH51" s="112">
        <f t="shared" ca="1" si="105"/>
        <v>-34.409999999999997</v>
      </c>
      <c r="AI51" s="112">
        <f t="shared" ca="1" si="106"/>
        <v>18.25</v>
      </c>
      <c r="AJ51" s="112">
        <f t="shared" ca="1" si="107"/>
        <v>38.950103979322051</v>
      </c>
      <c r="AK51" s="112">
        <f t="shared" ca="1" si="108"/>
        <v>152.05990358992182</v>
      </c>
      <c r="AL51" s="255"/>
      <c r="AM51" s="112">
        <f t="shared" si="109"/>
        <v>58.35</v>
      </c>
      <c r="AN51" s="112">
        <f t="shared" si="110"/>
        <v>-34.409999999999997</v>
      </c>
      <c r="AO51" s="112">
        <f t="shared" si="111"/>
        <v>18.25</v>
      </c>
      <c r="AP51" s="112">
        <f t="shared" si="112"/>
        <v>38.950103979322051</v>
      </c>
      <c r="AQ51" s="112">
        <f t="shared" si="70"/>
        <v>152.05990358992182</v>
      </c>
      <c r="AR51" s="255"/>
      <c r="AS51" s="112">
        <f t="shared" ca="1" si="113"/>
        <v>0</v>
      </c>
      <c r="AT51" s="112">
        <f t="shared" ca="1" si="114"/>
        <v>0</v>
      </c>
      <c r="AU51" s="112">
        <f t="shared" ca="1" si="115"/>
        <v>0</v>
      </c>
      <c r="AV51" s="112">
        <f t="shared" ca="1" si="116"/>
        <v>0</v>
      </c>
      <c r="AW51" s="112">
        <f t="shared" ca="1" si="83"/>
        <v>0</v>
      </c>
      <c r="AX51" s="109">
        <f t="shared" ca="1" si="117"/>
        <v>0</v>
      </c>
      <c r="AY51" s="112">
        <f t="shared" si="118"/>
        <v>1.1778500180429607</v>
      </c>
      <c r="AZ51" s="112">
        <f t="shared" si="119"/>
        <v>2.283437920722692</v>
      </c>
      <c r="BA51" s="112">
        <f t="shared" si="120"/>
        <v>1.7287167005080546</v>
      </c>
      <c r="BB51" s="112">
        <f t="shared" si="121"/>
        <v>0.75696727719044821</v>
      </c>
      <c r="BC51" s="112">
        <f t="shared" si="122"/>
        <v>0.99958750343383451</v>
      </c>
      <c r="BD51" s="112">
        <f t="shared" ca="1" si="123"/>
        <v>58.35</v>
      </c>
      <c r="BE51" s="112">
        <f t="shared" si="124"/>
        <v>38.950103979322051</v>
      </c>
      <c r="BF51" s="112">
        <f t="shared" ca="1" si="125"/>
        <v>38.950103979322051</v>
      </c>
      <c r="BG51" s="112">
        <f t="shared" ca="1" si="126"/>
        <v>38.950103979322051</v>
      </c>
      <c r="BH51" s="112">
        <f t="shared" ca="1" si="127"/>
        <v>1.0855124811059658E-2</v>
      </c>
      <c r="BI51" s="112">
        <f t="shared" ca="1" si="128"/>
        <v>-34.783524844748555</v>
      </c>
      <c r="BJ51" s="112">
        <f t="shared" ca="1" si="129"/>
        <v>-34.783524844748555</v>
      </c>
      <c r="BK51" s="112">
        <f t="shared" ca="1" si="130"/>
        <v>39.280479893010984</v>
      </c>
      <c r="BL51" s="112">
        <f t="shared" ca="1" si="131"/>
        <v>39.280479893010984</v>
      </c>
      <c r="BM51" s="112">
        <f t="shared" ca="1" si="132"/>
        <v>39.280479893010984</v>
      </c>
      <c r="BN51" s="112">
        <f t="shared" ca="1" si="29"/>
        <v>152.31518607898803</v>
      </c>
      <c r="BO51" s="112">
        <f t="shared" ca="1" si="133"/>
        <v>152.31518607898803</v>
      </c>
      <c r="BP51" s="112">
        <f t="shared" ca="1" si="134"/>
        <v>152.31518607898803</v>
      </c>
      <c r="BQ51" s="112">
        <f t="shared" ca="1" si="135"/>
        <v>1.3543843265320581</v>
      </c>
      <c r="BR51" s="112">
        <f t="shared" ca="1" si="136"/>
        <v>0</v>
      </c>
      <c r="BS51" s="112">
        <f t="shared" ca="1" si="137"/>
        <v>0</v>
      </c>
      <c r="BT51" s="112">
        <f t="shared" ca="1" si="138"/>
        <v>0</v>
      </c>
      <c r="BU51" s="112">
        <f t="shared" ca="1" si="139"/>
        <v>0</v>
      </c>
      <c r="BV51" s="112">
        <f t="shared" ca="1" si="140"/>
        <v>1.110411300914723</v>
      </c>
      <c r="BW51" s="112">
        <f t="shared" ca="1" si="141"/>
        <v>2.7676215951854939</v>
      </c>
      <c r="BX51" s="112">
        <f t="shared" ca="1" si="142"/>
        <v>1.7980129945862759</v>
      </c>
      <c r="BY51" s="112">
        <f t="shared" ca="1" si="143"/>
        <v>1.0428543402618091E-9</v>
      </c>
      <c r="BZ51" s="112">
        <f t="shared" ca="1" si="144"/>
        <v>1.9589961485894936</v>
      </c>
      <c r="CA51" s="112">
        <f t="shared" ca="1" si="145"/>
        <v>-7.1312325392003996E-11</v>
      </c>
      <c r="CB51" s="112">
        <v>1</v>
      </c>
      <c r="CC51" s="112">
        <v>1</v>
      </c>
      <c r="CD51" s="112">
        <v>1</v>
      </c>
      <c r="CE51" s="112">
        <v>1</v>
      </c>
      <c r="CF51" s="109">
        <f t="shared" ca="1" si="146"/>
        <v>2.7527546790694926</v>
      </c>
      <c r="CG51" s="112">
        <f t="shared" ca="1" si="147"/>
        <v>1.5842515596898308</v>
      </c>
      <c r="CH51" s="255"/>
      <c r="CI51" s="150" t="str">
        <f t="shared" ca="1" si="148"/>
        <v>C75M0Y75K0</v>
      </c>
      <c r="CJ51" s="125">
        <f t="shared" ca="1" si="46"/>
        <v>0</v>
      </c>
      <c r="CK51" s="125">
        <f t="shared" ca="1" si="47"/>
        <v>0</v>
      </c>
      <c r="CL51" s="125">
        <f t="shared" ca="1" si="48"/>
        <v>0</v>
      </c>
      <c r="CM51" s="124">
        <f t="shared" ca="1" si="149"/>
        <v>0</v>
      </c>
      <c r="CN51" s="112">
        <f t="shared" ca="1" si="150"/>
        <v>0</v>
      </c>
      <c r="CO51" s="112">
        <f t="shared" ca="1" si="151"/>
        <v>0</v>
      </c>
      <c r="CP51" s="112">
        <f t="shared" ca="1" si="152"/>
        <v>0</v>
      </c>
      <c r="CQ51" s="112" t="str">
        <f t="shared" ca="1" si="71"/>
        <v/>
      </c>
      <c r="CR51" s="112" t="str">
        <f t="shared" ca="1" si="72"/>
        <v/>
      </c>
      <c r="CS51" s="112" t="str">
        <f t="shared" ca="1" si="73"/>
        <v/>
      </c>
      <c r="CT51" s="112" t="str">
        <f t="shared" ca="1" si="74"/>
        <v/>
      </c>
      <c r="CU51" s="112" t="str">
        <f t="shared" ca="1" si="75"/>
        <v/>
      </c>
      <c r="CV51" s="112" t="str">
        <f t="shared" ca="1" si="76"/>
        <v/>
      </c>
      <c r="CW51" s="112" t="str">
        <f t="shared" ca="1" si="53"/>
        <v/>
      </c>
      <c r="CX51" s="112" t="str">
        <f t="shared" ca="1" si="77"/>
        <v/>
      </c>
      <c r="CY51" s="112" t="str">
        <f t="shared" ca="1" si="54"/>
        <v/>
      </c>
      <c r="CZ51" s="112" t="str">
        <f t="shared" ca="1" si="78"/>
        <v/>
      </c>
      <c r="DA51" s="112" t="str">
        <f t="shared" ca="1" si="55"/>
        <v/>
      </c>
      <c r="DB51" s="112" t="str">
        <f t="shared" ca="1" si="56"/>
        <v/>
      </c>
      <c r="DC51" s="112" t="str">
        <f t="shared" ca="1" si="57"/>
        <v/>
      </c>
      <c r="DD51" s="112" t="str">
        <f t="shared" ca="1" si="153"/>
        <v/>
      </c>
      <c r="DE51" s="112" t="str">
        <f t="shared" ca="1" si="59"/>
        <v/>
      </c>
      <c r="DF51" s="112" t="str">
        <f t="shared" ca="1" si="60"/>
        <v/>
      </c>
      <c r="DG51" s="125">
        <f t="shared" ca="1" si="154"/>
        <v>75</v>
      </c>
      <c r="DH51" s="125" t="str">
        <f t="shared" ca="1" si="155"/>
        <v>-</v>
      </c>
      <c r="DI51" s="125">
        <f t="shared" ca="1" si="156"/>
        <v>75</v>
      </c>
      <c r="DJ51" s="125" t="str">
        <f t="shared" ca="1" si="157"/>
        <v>-</v>
      </c>
      <c r="DK51" s="112">
        <f t="shared" ca="1" si="85"/>
        <v>0.18057073402044529</v>
      </c>
      <c r="DL51" s="112">
        <f t="shared" ca="1" si="86"/>
        <v>0.26331096874807797</v>
      </c>
      <c r="DM51" s="112">
        <f t="shared" ca="1" si="87"/>
        <v>0.13701699167800477</v>
      </c>
      <c r="DN51" s="112">
        <f t="shared" si="158"/>
        <v>0.18057073402044529</v>
      </c>
      <c r="DO51" s="112">
        <f t="shared" si="159"/>
        <v>0.26331096874807797</v>
      </c>
      <c r="DP51" s="112">
        <f t="shared" si="160"/>
        <v>0.13701699167800477</v>
      </c>
      <c r="DQ51" s="112">
        <f t="shared" ca="1" si="79"/>
        <v>58.35</v>
      </c>
      <c r="DR51" s="112">
        <f t="shared" ca="1" si="67"/>
        <v>-34.409999999999997</v>
      </c>
      <c r="DS51" s="112">
        <f t="shared" ca="1" si="68"/>
        <v>18.25</v>
      </c>
      <c r="DT51" s="112">
        <f t="shared" si="80"/>
        <v>58.35</v>
      </c>
      <c r="DU51" s="112">
        <f t="shared" si="81"/>
        <v>-34.409999999999997</v>
      </c>
      <c r="DV51" s="112">
        <f t="shared" si="82"/>
        <v>18.25</v>
      </c>
      <c r="DW51" s="260"/>
      <c r="DX51" s="168"/>
      <c r="DY51" s="168"/>
    </row>
    <row r="52" spans="1:129" s="151" customFormat="1" ht="14" customHeight="1">
      <c r="A52" s="158"/>
      <c r="B52" s="153" t="str">
        <f t="shared" ca="1" si="93"/>
        <v>-</v>
      </c>
      <c r="C52" s="154">
        <f t="shared" ca="1" si="94"/>
        <v>100</v>
      </c>
      <c r="D52" s="155">
        <f t="shared" ca="1" si="95"/>
        <v>100</v>
      </c>
      <c r="E52" s="156">
        <f t="shared" ca="1" si="96"/>
        <v>80</v>
      </c>
      <c r="F52" s="184"/>
      <c r="G52" s="195"/>
      <c r="H52" s="239">
        <v>28.71</v>
      </c>
      <c r="I52" s="240">
        <v>13.27</v>
      </c>
      <c r="J52" s="241">
        <v>7.68</v>
      </c>
      <c r="K52" s="181"/>
      <c r="L52" s="204">
        <f t="shared" ca="1" si="97"/>
        <v>28.71</v>
      </c>
      <c r="M52" s="95">
        <f t="shared" ca="1" si="98"/>
        <v>13.27</v>
      </c>
      <c r="N52" s="205">
        <f t="shared" ca="1" si="99"/>
        <v>7.68</v>
      </c>
      <c r="O52" s="21"/>
      <c r="P52" s="157">
        <f t="shared" ca="1" si="100"/>
        <v>0</v>
      </c>
      <c r="Q52" s="215"/>
      <c r="R52" s="289">
        <f t="shared" ca="1" si="101"/>
        <v>0</v>
      </c>
      <c r="S52" s="290"/>
      <c r="T52" s="148"/>
      <c r="U52" s="291">
        <f t="shared" ca="1" si="102"/>
        <v>0</v>
      </c>
      <c r="V52" s="292"/>
      <c r="W52" s="23"/>
      <c r="X52" s="291">
        <f t="shared" ca="1" si="103"/>
        <v>0</v>
      </c>
      <c r="Y52" s="292"/>
      <c r="Z52" s="215"/>
      <c r="AA52" s="215"/>
      <c r="AB52" s="215"/>
      <c r="AC52" s="94"/>
      <c r="AD52" s="94"/>
      <c r="AE52" s="149"/>
      <c r="AF52" s="149"/>
      <c r="AG52" s="112">
        <f t="shared" ca="1" si="104"/>
        <v>49.81</v>
      </c>
      <c r="AH52" s="112">
        <f t="shared" ca="1" si="105"/>
        <v>13.82</v>
      </c>
      <c r="AI52" s="112">
        <f t="shared" ca="1" si="106"/>
        <v>22.78</v>
      </c>
      <c r="AJ52" s="112">
        <f t="shared" ca="1" si="107"/>
        <v>26.644338985983495</v>
      </c>
      <c r="AK52" s="112">
        <f t="shared" ca="1" si="108"/>
        <v>58.755962539194584</v>
      </c>
      <c r="AL52" s="255"/>
      <c r="AM52" s="112">
        <f t="shared" si="109"/>
        <v>49.81</v>
      </c>
      <c r="AN52" s="112">
        <f t="shared" si="110"/>
        <v>13.82</v>
      </c>
      <c r="AO52" s="112">
        <f t="shared" si="111"/>
        <v>22.78</v>
      </c>
      <c r="AP52" s="112">
        <f t="shared" si="112"/>
        <v>26.644338985983495</v>
      </c>
      <c r="AQ52" s="112">
        <f t="shared" si="70"/>
        <v>58.755962539194584</v>
      </c>
      <c r="AR52" s="255"/>
      <c r="AS52" s="112">
        <f t="shared" ca="1" si="113"/>
        <v>0</v>
      </c>
      <c r="AT52" s="112">
        <f t="shared" ca="1" si="114"/>
        <v>0</v>
      </c>
      <c r="AU52" s="112">
        <f t="shared" ca="1" si="115"/>
        <v>0</v>
      </c>
      <c r="AV52" s="112">
        <f t="shared" ca="1" si="116"/>
        <v>0</v>
      </c>
      <c r="AW52" s="112">
        <f t="shared" ca="1" si="83"/>
        <v>0</v>
      </c>
      <c r="AX52" s="109">
        <f t="shared" ca="1" si="117"/>
        <v>0</v>
      </c>
      <c r="AY52" s="112">
        <f t="shared" si="118"/>
        <v>1.0861126314526302</v>
      </c>
      <c r="AZ52" s="112">
        <f t="shared" si="119"/>
        <v>1.8980870010748085</v>
      </c>
      <c r="BA52" s="112">
        <f t="shared" si="120"/>
        <v>0.73523636656042635</v>
      </c>
      <c r="BB52" s="112">
        <f t="shared" si="121"/>
        <v>0.38620278880134562</v>
      </c>
      <c r="BC52" s="112">
        <f t="shared" si="122"/>
        <v>0.99812034573651676</v>
      </c>
      <c r="BD52" s="112">
        <f t="shared" ca="1" si="123"/>
        <v>49.81</v>
      </c>
      <c r="BE52" s="112">
        <f t="shared" si="124"/>
        <v>26.644338985983495</v>
      </c>
      <c r="BF52" s="112">
        <f t="shared" ca="1" si="125"/>
        <v>26.644338985983495</v>
      </c>
      <c r="BG52" s="112">
        <f t="shared" ca="1" si="126"/>
        <v>26.644338985983495</v>
      </c>
      <c r="BH52" s="112">
        <f t="shared" ca="1" si="127"/>
        <v>0.10959461738961163</v>
      </c>
      <c r="BI52" s="112">
        <f t="shared" ca="1" si="128"/>
        <v>15.334597612324433</v>
      </c>
      <c r="BJ52" s="112">
        <f t="shared" ca="1" si="129"/>
        <v>15.334597612324433</v>
      </c>
      <c r="BK52" s="112">
        <f t="shared" ca="1" si="130"/>
        <v>27.460485864818672</v>
      </c>
      <c r="BL52" s="112">
        <f t="shared" ca="1" si="131"/>
        <v>27.460485864818672</v>
      </c>
      <c r="BM52" s="112">
        <f t="shared" ca="1" si="132"/>
        <v>27.460485864818672</v>
      </c>
      <c r="BN52" s="112">
        <f t="shared" ca="1" si="29"/>
        <v>56.05311505226188</v>
      </c>
      <c r="BO52" s="112">
        <f t="shared" ca="1" si="133"/>
        <v>56.05311505226188</v>
      </c>
      <c r="BP52" s="112">
        <f t="shared" ca="1" si="134"/>
        <v>56.05311505226188</v>
      </c>
      <c r="BQ52" s="112">
        <f t="shared" ca="1" si="135"/>
        <v>0.62796122462618331</v>
      </c>
      <c r="BR52" s="112">
        <f t="shared" ca="1" si="136"/>
        <v>0</v>
      </c>
      <c r="BS52" s="112">
        <f t="shared" ca="1" si="137"/>
        <v>0</v>
      </c>
      <c r="BT52" s="112">
        <f t="shared" ca="1" si="138"/>
        <v>0</v>
      </c>
      <c r="BU52" s="112">
        <f t="shared" ca="1" si="139"/>
        <v>0</v>
      </c>
      <c r="BV52" s="112">
        <f t="shared" ca="1" si="140"/>
        <v>1.0001209739512134</v>
      </c>
      <c r="BW52" s="112">
        <f t="shared" ca="1" si="141"/>
        <v>2.2357218639168401</v>
      </c>
      <c r="BX52" s="112">
        <f t="shared" ca="1" si="142"/>
        <v>1.2586618049875229</v>
      </c>
      <c r="BY52" s="112">
        <f t="shared" ca="1" si="143"/>
        <v>1.4674685950180485E-32</v>
      </c>
      <c r="BZ52" s="112">
        <f t="shared" ca="1" si="144"/>
        <v>1.6230957650846869</v>
      </c>
      <c r="CA52" s="112">
        <f t="shared" ca="1" si="145"/>
        <v>-8.3141972487684719E-34</v>
      </c>
      <c r="CB52" s="112">
        <v>1</v>
      </c>
      <c r="CC52" s="112">
        <v>1</v>
      </c>
      <c r="CD52" s="112">
        <v>1</v>
      </c>
      <c r="CE52" s="112">
        <v>1</v>
      </c>
      <c r="CF52" s="109">
        <f t="shared" ca="1" si="146"/>
        <v>2.1989952543692572</v>
      </c>
      <c r="CG52" s="112">
        <f t="shared" ca="1" si="147"/>
        <v>1.3996650847897525</v>
      </c>
      <c r="CH52" s="255"/>
      <c r="CI52" s="150" t="str">
        <f t="shared" ca="1" si="148"/>
        <v>C0M40Y70K40</v>
      </c>
      <c r="CJ52" s="125">
        <f t="shared" ca="1" si="46"/>
        <v>0</v>
      </c>
      <c r="CK52" s="125">
        <f t="shared" ca="1" si="47"/>
        <v>0</v>
      </c>
      <c r="CL52" s="125">
        <f t="shared" ca="1" si="48"/>
        <v>0</v>
      </c>
      <c r="CM52" s="124">
        <f t="shared" ca="1" si="149"/>
        <v>0</v>
      </c>
      <c r="CN52" s="112">
        <f t="shared" ca="1" si="150"/>
        <v>0</v>
      </c>
      <c r="CO52" s="112">
        <f t="shared" ca="1" si="151"/>
        <v>0</v>
      </c>
      <c r="CP52" s="112">
        <f t="shared" ca="1" si="152"/>
        <v>0</v>
      </c>
      <c r="CQ52" s="112" t="str">
        <f t="shared" ca="1" si="71"/>
        <v/>
      </c>
      <c r="CR52" s="112" t="str">
        <f t="shared" ca="1" si="72"/>
        <v/>
      </c>
      <c r="CS52" s="112" t="str">
        <f t="shared" ca="1" si="73"/>
        <v/>
      </c>
      <c r="CT52" s="112" t="str">
        <f t="shared" ca="1" si="74"/>
        <v/>
      </c>
      <c r="CU52" s="112" t="str">
        <f t="shared" ca="1" si="75"/>
        <v/>
      </c>
      <c r="CV52" s="112" t="str">
        <f t="shared" ca="1" si="76"/>
        <v/>
      </c>
      <c r="CW52" s="112" t="str">
        <f t="shared" ca="1" si="53"/>
        <v/>
      </c>
      <c r="CX52" s="112" t="str">
        <f t="shared" ca="1" si="77"/>
        <v/>
      </c>
      <c r="CY52" s="112" t="str">
        <f t="shared" ca="1" si="54"/>
        <v/>
      </c>
      <c r="CZ52" s="112" t="str">
        <f t="shared" ca="1" si="78"/>
        <v/>
      </c>
      <c r="DA52" s="112" t="str">
        <f t="shared" ca="1" si="55"/>
        <v/>
      </c>
      <c r="DB52" s="112" t="str">
        <f t="shared" ca="1" si="56"/>
        <v/>
      </c>
      <c r="DC52" s="112" t="str">
        <f t="shared" ca="1" si="57"/>
        <v/>
      </c>
      <c r="DD52" s="112" t="str">
        <f t="shared" ca="1" si="153"/>
        <v/>
      </c>
      <c r="DE52" s="112" t="str">
        <f t="shared" ca="1" si="59"/>
        <v/>
      </c>
      <c r="DF52" s="112" t="str">
        <f t="shared" ca="1" si="60"/>
        <v/>
      </c>
      <c r="DG52" s="125" t="str">
        <f t="shared" ca="1" si="154"/>
        <v>-</v>
      </c>
      <c r="DH52" s="125">
        <f t="shared" ca="1" si="155"/>
        <v>40</v>
      </c>
      <c r="DI52" s="125">
        <f t="shared" ca="1" si="156"/>
        <v>70</v>
      </c>
      <c r="DJ52" s="125">
        <f t="shared" ca="1" si="157"/>
        <v>40</v>
      </c>
      <c r="DK52" s="112">
        <f t="shared" ca="1" si="85"/>
        <v>0.20307059685041359</v>
      </c>
      <c r="DL52" s="112">
        <f t="shared" ca="1" si="86"/>
        <v>0.18260039166030287</v>
      </c>
      <c r="DM52" s="112">
        <f t="shared" ca="1" si="87"/>
        <v>7.6899783989343648E-2</v>
      </c>
      <c r="DN52" s="112">
        <f t="shared" si="158"/>
        <v>0.20307059685041359</v>
      </c>
      <c r="DO52" s="112">
        <f t="shared" si="159"/>
        <v>0.18260039166030287</v>
      </c>
      <c r="DP52" s="112">
        <f t="shared" si="160"/>
        <v>7.6899783989343648E-2</v>
      </c>
      <c r="DQ52" s="112">
        <f t="shared" ca="1" si="79"/>
        <v>49.81</v>
      </c>
      <c r="DR52" s="112">
        <f t="shared" ca="1" si="67"/>
        <v>13.82</v>
      </c>
      <c r="DS52" s="112">
        <f t="shared" ca="1" si="68"/>
        <v>22.78</v>
      </c>
      <c r="DT52" s="112">
        <f t="shared" si="80"/>
        <v>49.81</v>
      </c>
      <c r="DU52" s="112">
        <f t="shared" si="81"/>
        <v>13.82</v>
      </c>
      <c r="DV52" s="112">
        <f t="shared" si="82"/>
        <v>22.78</v>
      </c>
      <c r="DW52" s="260"/>
      <c r="DX52" s="168"/>
      <c r="DY52" s="168"/>
    </row>
    <row r="53" spans="1:129" s="151" customFormat="1" ht="14" customHeight="1">
      <c r="A53" s="158"/>
      <c r="B53" s="153" t="str">
        <f t="shared" ca="1" si="93"/>
        <v>-</v>
      </c>
      <c r="C53" s="154">
        <f t="shared" ca="1" si="94"/>
        <v>70</v>
      </c>
      <c r="D53" s="155">
        <f t="shared" ca="1" si="95"/>
        <v>100</v>
      </c>
      <c r="E53" s="156">
        <f t="shared" ca="1" si="96"/>
        <v>40</v>
      </c>
      <c r="F53" s="184"/>
      <c r="G53" s="195"/>
      <c r="H53" s="239">
        <v>43.61</v>
      </c>
      <c r="I53" s="240">
        <v>25.06</v>
      </c>
      <c r="J53" s="241">
        <v>22.8</v>
      </c>
      <c r="K53" s="181"/>
      <c r="L53" s="204">
        <f t="shared" ca="1" si="97"/>
        <v>43.61</v>
      </c>
      <c r="M53" s="95">
        <f t="shared" ca="1" si="98"/>
        <v>25.06</v>
      </c>
      <c r="N53" s="205">
        <f t="shared" ca="1" si="99"/>
        <v>22.8</v>
      </c>
      <c r="O53" s="21"/>
      <c r="P53" s="157">
        <f t="shared" ca="1" si="100"/>
        <v>0</v>
      </c>
      <c r="Q53" s="215"/>
      <c r="R53" s="289">
        <f t="shared" ca="1" si="101"/>
        <v>0</v>
      </c>
      <c r="S53" s="290"/>
      <c r="T53" s="148"/>
      <c r="U53" s="291">
        <f t="shared" ca="1" si="102"/>
        <v>0</v>
      </c>
      <c r="V53" s="292"/>
      <c r="W53" s="23"/>
      <c r="X53" s="291">
        <f t="shared" ca="1" si="103"/>
        <v>0</v>
      </c>
      <c r="Y53" s="292"/>
      <c r="Z53" s="215"/>
      <c r="AA53" s="215"/>
      <c r="AB53" s="215"/>
      <c r="AC53" s="94"/>
      <c r="AD53" s="94"/>
      <c r="AE53" s="149"/>
      <c r="AF53" s="149"/>
      <c r="AG53" s="112">
        <f t="shared" ca="1" si="104"/>
        <v>85.14</v>
      </c>
      <c r="AH53" s="112">
        <f t="shared" ca="1" si="105"/>
        <v>-1.77</v>
      </c>
      <c r="AI53" s="112">
        <f t="shared" ca="1" si="106"/>
        <v>22.27</v>
      </c>
      <c r="AJ53" s="112">
        <f t="shared" ca="1" si="107"/>
        <v>22.340228288896245</v>
      </c>
      <c r="AK53" s="112">
        <f t="shared" ca="1" si="108"/>
        <v>94.54426559127387</v>
      </c>
      <c r="AL53" s="255"/>
      <c r="AM53" s="112">
        <f t="shared" si="109"/>
        <v>85.14</v>
      </c>
      <c r="AN53" s="112">
        <f t="shared" si="110"/>
        <v>-1.77</v>
      </c>
      <c r="AO53" s="112">
        <f t="shared" si="111"/>
        <v>22.27</v>
      </c>
      <c r="AP53" s="112">
        <f t="shared" si="112"/>
        <v>22.340228288896245</v>
      </c>
      <c r="AQ53" s="112">
        <f t="shared" si="70"/>
        <v>94.54426559127387</v>
      </c>
      <c r="AR53" s="255"/>
      <c r="AS53" s="112">
        <f t="shared" ca="1" si="113"/>
        <v>0</v>
      </c>
      <c r="AT53" s="112">
        <f t="shared" ca="1" si="114"/>
        <v>0</v>
      </c>
      <c r="AU53" s="112">
        <f t="shared" ca="1" si="115"/>
        <v>0</v>
      </c>
      <c r="AV53" s="112">
        <f t="shared" ca="1" si="116"/>
        <v>0</v>
      </c>
      <c r="AW53" s="112">
        <f t="shared" ca="1" si="83"/>
        <v>0</v>
      </c>
      <c r="AX53" s="109">
        <f t="shared" ca="1" si="117"/>
        <v>0</v>
      </c>
      <c r="AY53" s="112">
        <f t="shared" si="118"/>
        <v>1.3939274493641118</v>
      </c>
      <c r="AZ53" s="112">
        <f t="shared" si="119"/>
        <v>1.7406177672911167</v>
      </c>
      <c r="BA53" s="112">
        <f t="shared" si="120"/>
        <v>1.0724484592624239</v>
      </c>
      <c r="BB53" s="112">
        <f t="shared" si="121"/>
        <v>0.6146696689397535</v>
      </c>
      <c r="BC53" s="112">
        <f t="shared" si="122"/>
        <v>0.99620774732027684</v>
      </c>
      <c r="BD53" s="112">
        <f t="shared" ca="1" si="123"/>
        <v>85.14</v>
      </c>
      <c r="BE53" s="112">
        <f t="shared" si="124"/>
        <v>22.340228288896245</v>
      </c>
      <c r="BF53" s="112">
        <f t="shared" ca="1" si="125"/>
        <v>22.340228288896245</v>
      </c>
      <c r="BG53" s="112">
        <f t="shared" ca="1" si="126"/>
        <v>22.340228288896245</v>
      </c>
      <c r="BH53" s="112">
        <f t="shared" ca="1" si="127"/>
        <v>0.22039064745659431</v>
      </c>
      <c r="BI53" s="112">
        <f t="shared" ca="1" si="128"/>
        <v>-2.1600914459981717</v>
      </c>
      <c r="BJ53" s="112">
        <f t="shared" ca="1" si="129"/>
        <v>-2.1600914459981717</v>
      </c>
      <c r="BK53" s="112">
        <f t="shared" ca="1" si="130"/>
        <v>22.374514409369301</v>
      </c>
      <c r="BL53" s="112">
        <f t="shared" ca="1" si="131"/>
        <v>22.374514409369301</v>
      </c>
      <c r="BM53" s="112">
        <f t="shared" ca="1" si="132"/>
        <v>22.374514409369301</v>
      </c>
      <c r="BN53" s="112">
        <f t="shared" ca="1" si="29"/>
        <v>95.540106395326063</v>
      </c>
      <c r="BO53" s="112">
        <f t="shared" ca="1" si="133"/>
        <v>95.540106395326063</v>
      </c>
      <c r="BP53" s="112">
        <f t="shared" ca="1" si="134"/>
        <v>95.540106395326063</v>
      </c>
      <c r="BQ53" s="112">
        <f t="shared" ca="1" si="135"/>
        <v>0.66585482112813366</v>
      </c>
      <c r="BR53" s="112">
        <f t="shared" ca="1" si="136"/>
        <v>0</v>
      </c>
      <c r="BS53" s="112">
        <f t="shared" ca="1" si="137"/>
        <v>0</v>
      </c>
      <c r="BT53" s="112">
        <f t="shared" ca="1" si="138"/>
        <v>0</v>
      </c>
      <c r="BU53" s="112">
        <f t="shared" ca="1" si="139"/>
        <v>0</v>
      </c>
      <c r="BV53" s="112">
        <f t="shared" ca="1" si="140"/>
        <v>1.5228825235722647</v>
      </c>
      <c r="BW53" s="112">
        <f t="shared" ca="1" si="141"/>
        <v>2.0068531484216185</v>
      </c>
      <c r="BX53" s="112">
        <f t="shared" ca="1" si="142"/>
        <v>1.2234726743481916</v>
      </c>
      <c r="BY53" s="112">
        <f t="shared" ca="1" si="143"/>
        <v>1.2537246921603437E-21</v>
      </c>
      <c r="BZ53" s="112">
        <f t="shared" ca="1" si="144"/>
        <v>1.1225638639060627</v>
      </c>
      <c r="CA53" s="112">
        <f t="shared" ca="1" si="145"/>
        <v>-4.9127040304412175E-23</v>
      </c>
      <c r="CB53" s="112">
        <v>1</v>
      </c>
      <c r="CC53" s="112">
        <v>1</v>
      </c>
      <c r="CD53" s="112">
        <v>1</v>
      </c>
      <c r="CE53" s="112">
        <v>1</v>
      </c>
      <c r="CF53" s="109">
        <f t="shared" ca="1" si="146"/>
        <v>2.0053102730003309</v>
      </c>
      <c r="CG53" s="112">
        <f t="shared" ca="1" si="147"/>
        <v>1.3351034243334436</v>
      </c>
      <c r="CH53" s="255"/>
      <c r="CI53" s="150" t="str">
        <f t="shared" ca="1" si="148"/>
        <v>C0M0Y25K0</v>
      </c>
      <c r="CJ53" s="125">
        <f t="shared" ca="1" si="46"/>
        <v>0</v>
      </c>
      <c r="CK53" s="125">
        <f t="shared" ca="1" si="47"/>
        <v>0</v>
      </c>
      <c r="CL53" s="125">
        <f t="shared" ca="1" si="48"/>
        <v>0</v>
      </c>
      <c r="CM53" s="124">
        <f t="shared" ca="1" si="149"/>
        <v>0</v>
      </c>
      <c r="CN53" s="112">
        <f t="shared" ca="1" si="150"/>
        <v>0</v>
      </c>
      <c r="CO53" s="112">
        <f t="shared" ca="1" si="151"/>
        <v>0</v>
      </c>
      <c r="CP53" s="112">
        <f t="shared" ca="1" si="152"/>
        <v>0</v>
      </c>
      <c r="CQ53" s="112" t="str">
        <f t="shared" ca="1" si="71"/>
        <v/>
      </c>
      <c r="CR53" s="112" t="str">
        <f t="shared" ca="1" si="72"/>
        <v/>
      </c>
      <c r="CS53" s="112" t="str">
        <f t="shared" ca="1" si="73"/>
        <v/>
      </c>
      <c r="CT53" s="112" t="str">
        <f t="shared" ca="1" si="74"/>
        <v/>
      </c>
      <c r="CU53" s="112" t="str">
        <f t="shared" ca="1" si="75"/>
        <v/>
      </c>
      <c r="CV53" s="112" t="str">
        <f t="shared" ca="1" si="76"/>
        <v/>
      </c>
      <c r="CW53" s="112" t="str">
        <f t="shared" ca="1" si="53"/>
        <v/>
      </c>
      <c r="CX53" s="112" t="str">
        <f t="shared" ca="1" si="77"/>
        <v/>
      </c>
      <c r="CY53" s="112" t="str">
        <f t="shared" ca="1" si="54"/>
        <v/>
      </c>
      <c r="CZ53" s="112" t="str">
        <f t="shared" ca="1" si="78"/>
        <v/>
      </c>
      <c r="DA53" s="112" t="str">
        <f t="shared" ca="1" si="55"/>
        <v/>
      </c>
      <c r="DB53" s="112" t="str">
        <f t="shared" ca="1" si="56"/>
        <v/>
      </c>
      <c r="DC53" s="112" t="str">
        <f t="shared" ca="1" si="57"/>
        <v/>
      </c>
      <c r="DD53" s="112" t="str">
        <f t="shared" ca="1" si="153"/>
        <v/>
      </c>
      <c r="DE53" s="112" t="str">
        <f t="shared" ca="1" si="59"/>
        <v/>
      </c>
      <c r="DF53" s="112" t="str">
        <f t="shared" ca="1" si="60"/>
        <v/>
      </c>
      <c r="DG53" s="125" t="str">
        <f t="shared" ca="1" si="154"/>
        <v>-</v>
      </c>
      <c r="DH53" s="125" t="str">
        <f t="shared" ca="1" si="155"/>
        <v>-</v>
      </c>
      <c r="DI53" s="125">
        <f t="shared" ca="1" si="156"/>
        <v>25</v>
      </c>
      <c r="DJ53" s="125" t="str">
        <f t="shared" ca="1" si="157"/>
        <v>-</v>
      </c>
      <c r="DK53" s="112">
        <f t="shared" ca="1" si="85"/>
        <v>0.63133720501074664</v>
      </c>
      <c r="DL53" s="112">
        <f t="shared" ca="1" si="86"/>
        <v>0.66281889475275735</v>
      </c>
      <c r="DM53" s="112">
        <f t="shared" ca="1" si="87"/>
        <v>0.36289309813288406</v>
      </c>
      <c r="DN53" s="112">
        <f t="shared" si="158"/>
        <v>0.63133720501074664</v>
      </c>
      <c r="DO53" s="112">
        <f t="shared" si="159"/>
        <v>0.66281889475275735</v>
      </c>
      <c r="DP53" s="112">
        <f t="shared" si="160"/>
        <v>0.36289309813288406</v>
      </c>
      <c r="DQ53" s="112">
        <f t="shared" ca="1" si="79"/>
        <v>85.14</v>
      </c>
      <c r="DR53" s="112">
        <f t="shared" ca="1" si="67"/>
        <v>-1.77</v>
      </c>
      <c r="DS53" s="112">
        <f t="shared" ca="1" si="68"/>
        <v>22.27</v>
      </c>
      <c r="DT53" s="112">
        <f t="shared" si="80"/>
        <v>85.14</v>
      </c>
      <c r="DU53" s="112">
        <f t="shared" si="81"/>
        <v>-1.77</v>
      </c>
      <c r="DV53" s="112">
        <f t="shared" si="82"/>
        <v>22.27</v>
      </c>
      <c r="DW53" s="260"/>
      <c r="DX53" s="168"/>
      <c r="DY53" s="168"/>
    </row>
    <row r="54" spans="1:129" s="151" customFormat="1" ht="14" customHeight="1">
      <c r="A54" s="158"/>
      <c r="B54" s="153" t="str">
        <f t="shared" ca="1" si="93"/>
        <v>-</v>
      </c>
      <c r="C54" s="154">
        <f t="shared" ca="1" si="94"/>
        <v>75</v>
      </c>
      <c r="D54" s="155" t="str">
        <f t="shared" ca="1" si="95"/>
        <v>-</v>
      </c>
      <c r="E54" s="156" t="str">
        <f t="shared" ca="1" si="96"/>
        <v>-</v>
      </c>
      <c r="F54" s="184"/>
      <c r="G54" s="195"/>
      <c r="H54" s="239">
        <v>57.68</v>
      </c>
      <c r="I54" s="240">
        <v>46.76</v>
      </c>
      <c r="J54" s="241">
        <v>-3.21</v>
      </c>
      <c r="K54" s="181"/>
      <c r="L54" s="204">
        <f t="shared" ca="1" si="97"/>
        <v>57.68</v>
      </c>
      <c r="M54" s="95">
        <f t="shared" ca="1" si="98"/>
        <v>46.76</v>
      </c>
      <c r="N54" s="205">
        <f t="shared" ca="1" si="99"/>
        <v>-3.21</v>
      </c>
      <c r="O54" s="21"/>
      <c r="P54" s="157">
        <f t="shared" ca="1" si="100"/>
        <v>0</v>
      </c>
      <c r="Q54" s="215"/>
      <c r="R54" s="289">
        <f t="shared" ca="1" si="101"/>
        <v>0</v>
      </c>
      <c r="S54" s="290"/>
      <c r="T54" s="148"/>
      <c r="U54" s="291">
        <f t="shared" ca="1" si="102"/>
        <v>0</v>
      </c>
      <c r="V54" s="292"/>
      <c r="W54" s="23"/>
      <c r="X54" s="291">
        <f t="shared" ca="1" si="103"/>
        <v>0</v>
      </c>
      <c r="Y54" s="292"/>
      <c r="Z54" s="215"/>
      <c r="AA54" s="215"/>
      <c r="AB54" s="215"/>
      <c r="AC54" s="94"/>
      <c r="AD54" s="94"/>
      <c r="AE54" s="149"/>
      <c r="AF54" s="149"/>
      <c r="AG54" s="112">
        <f t="shared" ca="1" si="104"/>
        <v>67.12</v>
      </c>
      <c r="AH54" s="112">
        <f t="shared" ca="1" si="105"/>
        <v>-22.63</v>
      </c>
      <c r="AI54" s="112">
        <f t="shared" ca="1" si="106"/>
        <v>15.41</v>
      </c>
      <c r="AJ54" s="112">
        <f t="shared" ca="1" si="107"/>
        <v>27.378549998128097</v>
      </c>
      <c r="AK54" s="112">
        <f t="shared" ca="1" si="108"/>
        <v>145.74691841974501</v>
      </c>
      <c r="AL54" s="255"/>
      <c r="AM54" s="112">
        <f t="shared" si="109"/>
        <v>67.12</v>
      </c>
      <c r="AN54" s="112">
        <f t="shared" si="110"/>
        <v>-22.63</v>
      </c>
      <c r="AO54" s="112">
        <f t="shared" si="111"/>
        <v>15.41</v>
      </c>
      <c r="AP54" s="112">
        <f t="shared" si="112"/>
        <v>27.378549998128097</v>
      </c>
      <c r="AQ54" s="112">
        <f t="shared" si="70"/>
        <v>145.74691841974501</v>
      </c>
      <c r="AR54" s="255"/>
      <c r="AS54" s="112">
        <f t="shared" ca="1" si="113"/>
        <v>0</v>
      </c>
      <c r="AT54" s="112">
        <f t="shared" ca="1" si="114"/>
        <v>0</v>
      </c>
      <c r="AU54" s="112">
        <f t="shared" ca="1" si="115"/>
        <v>0</v>
      </c>
      <c r="AV54" s="112">
        <f t="shared" ca="1" si="116"/>
        <v>0</v>
      </c>
      <c r="AW54" s="112">
        <f t="shared" ca="1" si="83"/>
        <v>0</v>
      </c>
      <c r="AX54" s="109">
        <f t="shared" ca="1" si="117"/>
        <v>0</v>
      </c>
      <c r="AY54" s="112">
        <f t="shared" si="118"/>
        <v>1.2588832719662666</v>
      </c>
      <c r="AZ54" s="112">
        <f t="shared" si="119"/>
        <v>1.923643773370566</v>
      </c>
      <c r="BA54" s="112">
        <f t="shared" si="120"/>
        <v>1.4626826037718144</v>
      </c>
      <c r="BB54" s="112">
        <f t="shared" si="121"/>
        <v>0.75996601205398018</v>
      </c>
      <c r="BC54" s="112">
        <f t="shared" si="122"/>
        <v>0.99831351647539412</v>
      </c>
      <c r="BD54" s="112">
        <f t="shared" ca="1" si="123"/>
        <v>67.12</v>
      </c>
      <c r="BE54" s="112">
        <f t="shared" si="124"/>
        <v>27.378549998128097</v>
      </c>
      <c r="BF54" s="112">
        <f t="shared" ca="1" si="125"/>
        <v>27.378549998128097</v>
      </c>
      <c r="BG54" s="112">
        <f t="shared" ca="1" si="126"/>
        <v>27.378549998128097</v>
      </c>
      <c r="BH54" s="112">
        <f t="shared" ca="1" si="127"/>
        <v>9.5682271938024588E-2</v>
      </c>
      <c r="BI54" s="112">
        <f t="shared" ca="1" si="128"/>
        <v>-24.795289813957496</v>
      </c>
      <c r="BJ54" s="112">
        <f t="shared" ca="1" si="129"/>
        <v>-24.795289813957496</v>
      </c>
      <c r="BK54" s="112">
        <f t="shared" ca="1" si="130"/>
        <v>29.193740715402406</v>
      </c>
      <c r="BL54" s="112">
        <f t="shared" ca="1" si="131"/>
        <v>29.193740715402406</v>
      </c>
      <c r="BM54" s="112">
        <f t="shared" ca="1" si="132"/>
        <v>29.193740715402406</v>
      </c>
      <c r="BN54" s="112">
        <f t="shared" ca="1" si="29"/>
        <v>148.13950322076263</v>
      </c>
      <c r="BO54" s="112">
        <f t="shared" ca="1" si="133"/>
        <v>148.13950322076263</v>
      </c>
      <c r="BP54" s="112">
        <f t="shared" ca="1" si="134"/>
        <v>148.13950322076263</v>
      </c>
      <c r="BQ54" s="112">
        <f t="shared" ca="1" si="135"/>
        <v>1.380784043106364</v>
      </c>
      <c r="BR54" s="112">
        <f t="shared" ca="1" si="136"/>
        <v>0</v>
      </c>
      <c r="BS54" s="112">
        <f t="shared" ca="1" si="137"/>
        <v>0</v>
      </c>
      <c r="BT54" s="112">
        <f t="shared" ca="1" si="138"/>
        <v>0</v>
      </c>
      <c r="BU54" s="112">
        <f t="shared" ca="1" si="139"/>
        <v>0</v>
      </c>
      <c r="BV54" s="112">
        <f t="shared" ca="1" si="140"/>
        <v>1.2484626596511827</v>
      </c>
      <c r="BW54" s="112">
        <f t="shared" ca="1" si="141"/>
        <v>2.3137183321931083</v>
      </c>
      <c r="BX54" s="112">
        <f t="shared" ca="1" si="142"/>
        <v>1.6046537700761832</v>
      </c>
      <c r="BY54" s="112">
        <f t="shared" ca="1" si="143"/>
        <v>1.9685776613788131E-10</v>
      </c>
      <c r="BZ54" s="112">
        <f t="shared" ca="1" si="144"/>
        <v>1.7292110808303733</v>
      </c>
      <c r="CA54" s="112">
        <f t="shared" ca="1" si="145"/>
        <v>-1.188250281071447E-11</v>
      </c>
      <c r="CB54" s="112">
        <v>1</v>
      </c>
      <c r="CC54" s="112">
        <v>1</v>
      </c>
      <c r="CD54" s="112">
        <v>1</v>
      </c>
      <c r="CE54" s="112">
        <v>1</v>
      </c>
      <c r="CF54" s="109">
        <f t="shared" ca="1" si="146"/>
        <v>2.2320347499157642</v>
      </c>
      <c r="CG54" s="112">
        <f t="shared" ca="1" si="147"/>
        <v>1.4106782499719215</v>
      </c>
      <c r="CH54" s="255"/>
      <c r="CI54" s="150" t="str">
        <f t="shared" ca="1" si="148"/>
        <v>C50M0Y50K0</v>
      </c>
      <c r="CJ54" s="125">
        <f t="shared" ca="1" si="46"/>
        <v>0</v>
      </c>
      <c r="CK54" s="125">
        <f t="shared" ca="1" si="47"/>
        <v>0</v>
      </c>
      <c r="CL54" s="125">
        <f t="shared" ca="1" si="48"/>
        <v>0</v>
      </c>
      <c r="CM54" s="124">
        <f t="shared" ca="1" si="149"/>
        <v>0</v>
      </c>
      <c r="CN54" s="112">
        <f t="shared" ca="1" si="150"/>
        <v>0</v>
      </c>
      <c r="CO54" s="112">
        <f t="shared" ca="1" si="151"/>
        <v>0</v>
      </c>
      <c r="CP54" s="112">
        <f t="shared" ca="1" si="152"/>
        <v>0</v>
      </c>
      <c r="CQ54" s="112" t="str">
        <f t="shared" ca="1" si="71"/>
        <v/>
      </c>
      <c r="CR54" s="112" t="str">
        <f t="shared" ca="1" si="72"/>
        <v/>
      </c>
      <c r="CS54" s="112" t="str">
        <f t="shared" ca="1" si="73"/>
        <v/>
      </c>
      <c r="CT54" s="112" t="str">
        <f t="shared" ca="1" si="74"/>
        <v/>
      </c>
      <c r="CU54" s="112" t="str">
        <f t="shared" ca="1" si="75"/>
        <v/>
      </c>
      <c r="CV54" s="112" t="str">
        <f t="shared" ca="1" si="76"/>
        <v/>
      </c>
      <c r="CW54" s="112" t="str">
        <f t="shared" ca="1" si="53"/>
        <v/>
      </c>
      <c r="CX54" s="112" t="str">
        <f t="shared" ca="1" si="77"/>
        <v/>
      </c>
      <c r="CY54" s="112" t="str">
        <f t="shared" ca="1" si="54"/>
        <v/>
      </c>
      <c r="CZ54" s="112" t="str">
        <f t="shared" ca="1" si="78"/>
        <v/>
      </c>
      <c r="DA54" s="112" t="str">
        <f t="shared" ca="1" si="55"/>
        <v/>
      </c>
      <c r="DB54" s="112" t="str">
        <f t="shared" ca="1" si="56"/>
        <v/>
      </c>
      <c r="DC54" s="112" t="str">
        <f t="shared" ca="1" si="57"/>
        <v/>
      </c>
      <c r="DD54" s="112" t="str">
        <f t="shared" ca="1" si="153"/>
        <v/>
      </c>
      <c r="DE54" s="112" t="str">
        <f ca="1">IFERROR(IF(DB54="","",ABS(DC54)*(1-MAX(0,(DG54-50)/50*0.75))),ABS(DC54)*(1-MAX(0,(DJ54-50)/50*0.75)))</f>
        <v/>
      </c>
      <c r="DF54" s="112" t="str">
        <f t="shared" ca="1" si="60"/>
        <v/>
      </c>
      <c r="DG54" s="125">
        <f t="shared" ca="1" si="154"/>
        <v>50</v>
      </c>
      <c r="DH54" s="125" t="str">
        <f t="shared" ca="1" si="155"/>
        <v>-</v>
      </c>
      <c r="DI54" s="125">
        <f t="shared" ca="1" si="156"/>
        <v>50</v>
      </c>
      <c r="DJ54" s="125" t="str">
        <f t="shared" ca="1" si="157"/>
        <v>-</v>
      </c>
      <c r="DK54" s="112">
        <f t="shared" ca="1" si="85"/>
        <v>0.29167620887380197</v>
      </c>
      <c r="DL54" s="112">
        <f t="shared" ca="1" si="86"/>
        <v>0.36791088408708855</v>
      </c>
      <c r="DM54" s="112">
        <f t="shared" ca="1" si="87"/>
        <v>0.21573790781416208</v>
      </c>
      <c r="DN54" s="112">
        <f t="shared" si="158"/>
        <v>0.29167620887380197</v>
      </c>
      <c r="DO54" s="112">
        <f t="shared" si="159"/>
        <v>0.36791088408708855</v>
      </c>
      <c r="DP54" s="112">
        <f t="shared" si="160"/>
        <v>0.21573790781416208</v>
      </c>
      <c r="DQ54" s="112">
        <f t="shared" ca="1" si="79"/>
        <v>67.12</v>
      </c>
      <c r="DR54" s="112">
        <f t="shared" ca="1" si="67"/>
        <v>-22.63</v>
      </c>
      <c r="DS54" s="112">
        <f t="shared" ca="1" si="68"/>
        <v>15.41</v>
      </c>
      <c r="DT54" s="112">
        <f t="shared" si="80"/>
        <v>67.12</v>
      </c>
      <c r="DU54" s="112">
        <f t="shared" si="81"/>
        <v>-22.63</v>
      </c>
      <c r="DV54" s="112">
        <f t="shared" si="82"/>
        <v>15.41</v>
      </c>
      <c r="DW54" s="260"/>
      <c r="DX54" s="168"/>
      <c r="DY54" s="168"/>
    </row>
    <row r="55" spans="1:129" s="151" customFormat="1" ht="14" customHeight="1">
      <c r="A55" s="158"/>
      <c r="B55" s="153" t="str">
        <f t="shared" ca="1" si="93"/>
        <v>-</v>
      </c>
      <c r="C55" s="154">
        <f t="shared" ca="1" si="94"/>
        <v>100</v>
      </c>
      <c r="D55" s="155">
        <f t="shared" ca="1" si="95"/>
        <v>100</v>
      </c>
      <c r="E55" s="156" t="str">
        <f t="shared" ca="1" si="96"/>
        <v>-</v>
      </c>
      <c r="F55" s="184"/>
      <c r="G55" s="195"/>
      <c r="H55" s="239">
        <v>51</v>
      </c>
      <c r="I55" s="240">
        <v>55</v>
      </c>
      <c r="J55" s="241">
        <v>32</v>
      </c>
      <c r="K55" s="181"/>
      <c r="L55" s="204">
        <f t="shared" ca="1" si="97"/>
        <v>51</v>
      </c>
      <c r="M55" s="95">
        <f t="shared" ca="1" si="98"/>
        <v>55</v>
      </c>
      <c r="N55" s="205">
        <f t="shared" ca="1" si="99"/>
        <v>32</v>
      </c>
      <c r="O55" s="21"/>
      <c r="P55" s="157">
        <f t="shared" ca="1" si="100"/>
        <v>0</v>
      </c>
      <c r="Q55" s="215"/>
      <c r="R55" s="289">
        <f t="shared" ca="1" si="101"/>
        <v>0</v>
      </c>
      <c r="S55" s="290"/>
      <c r="T55" s="148"/>
      <c r="U55" s="291">
        <f t="shared" ca="1" si="102"/>
        <v>0</v>
      </c>
      <c r="V55" s="292"/>
      <c r="W55" s="23"/>
      <c r="X55" s="291">
        <f t="shared" ca="1" si="103"/>
        <v>0</v>
      </c>
      <c r="Y55" s="292"/>
      <c r="Z55" s="215"/>
      <c r="AA55" s="215"/>
      <c r="AB55" s="215"/>
      <c r="AC55" s="94"/>
      <c r="AD55" s="94"/>
      <c r="AE55" s="149"/>
      <c r="AF55" s="149"/>
      <c r="AG55" s="112">
        <f t="shared" ca="1" si="104"/>
        <v>50.93</v>
      </c>
      <c r="AH55" s="112">
        <f t="shared" ca="1" si="105"/>
        <v>-12.96</v>
      </c>
      <c r="AI55" s="112">
        <f t="shared" ca="1" si="106"/>
        <v>19.649999999999999</v>
      </c>
      <c r="AJ55" s="112">
        <f t="shared" ca="1" si="107"/>
        <v>23.538991057392415</v>
      </c>
      <c r="AK55" s="112">
        <f t="shared" ca="1" si="108"/>
        <v>123.40652763021636</v>
      </c>
      <c r="AL55" s="255"/>
      <c r="AM55" s="112">
        <f t="shared" si="109"/>
        <v>50.93</v>
      </c>
      <c r="AN55" s="112">
        <f t="shared" si="110"/>
        <v>-12.96</v>
      </c>
      <c r="AO55" s="112">
        <f t="shared" si="111"/>
        <v>19.649999999999999</v>
      </c>
      <c r="AP55" s="112">
        <f t="shared" si="112"/>
        <v>23.538991057392415</v>
      </c>
      <c r="AQ55" s="112">
        <f t="shared" si="70"/>
        <v>123.40652763021636</v>
      </c>
      <c r="AR55" s="255"/>
      <c r="AS55" s="112">
        <f t="shared" ca="1" si="113"/>
        <v>0</v>
      </c>
      <c r="AT55" s="112">
        <f t="shared" ca="1" si="114"/>
        <v>0</v>
      </c>
      <c r="AU55" s="112">
        <f t="shared" ca="1" si="115"/>
        <v>0</v>
      </c>
      <c r="AV55" s="112">
        <f t="shared" ca="1" si="116"/>
        <v>0</v>
      </c>
      <c r="AW55" s="112">
        <f t="shared" ca="1" si="83"/>
        <v>0</v>
      </c>
      <c r="AX55" s="109">
        <f t="shared" ca="1" si="117"/>
        <v>0</v>
      </c>
      <c r="AY55" s="112">
        <f t="shared" si="118"/>
        <v>1.098973518818251</v>
      </c>
      <c r="AZ55" s="112">
        <f t="shared" si="119"/>
        <v>1.7858390740115135</v>
      </c>
      <c r="BA55" s="112">
        <f t="shared" si="120"/>
        <v>1.3085790341966401</v>
      </c>
      <c r="BB55" s="112">
        <f t="shared" si="121"/>
        <v>0.73192736791341428</v>
      </c>
      <c r="BC55" s="112">
        <f t="shared" si="122"/>
        <v>0.99691991910168776</v>
      </c>
      <c r="BD55" s="112">
        <f t="shared" ca="1" si="123"/>
        <v>50.93</v>
      </c>
      <c r="BE55" s="112">
        <f t="shared" si="124"/>
        <v>23.538991057392415</v>
      </c>
      <c r="BF55" s="112">
        <f t="shared" ca="1" si="125"/>
        <v>23.538991057392415</v>
      </c>
      <c r="BG55" s="112">
        <f t="shared" ca="1" si="126"/>
        <v>23.538991057392415</v>
      </c>
      <c r="BH55" s="112">
        <f t="shared" ca="1" si="127"/>
        <v>0.18529682840785344</v>
      </c>
      <c r="BI55" s="112">
        <f t="shared" ca="1" si="128"/>
        <v>-15.361446896165782</v>
      </c>
      <c r="BJ55" s="112">
        <f t="shared" ca="1" si="129"/>
        <v>-15.361446896165782</v>
      </c>
      <c r="BK55" s="112">
        <f t="shared" ca="1" si="130"/>
        <v>24.941863417630234</v>
      </c>
      <c r="BL55" s="112">
        <f t="shared" ca="1" si="131"/>
        <v>24.941863417630234</v>
      </c>
      <c r="BM55" s="112">
        <f t="shared" ca="1" si="132"/>
        <v>24.941863417630234</v>
      </c>
      <c r="BN55" s="112">
        <f t="shared" ca="1" si="29"/>
        <v>128.01662545795111</v>
      </c>
      <c r="BO55" s="112">
        <f t="shared" ca="1" si="133"/>
        <v>128.01662545795111</v>
      </c>
      <c r="BP55" s="112">
        <f t="shared" ca="1" si="134"/>
        <v>128.01662545795111</v>
      </c>
      <c r="BQ55" s="112">
        <f t="shared" ca="1" si="135"/>
        <v>1.2395125374791887</v>
      </c>
      <c r="BR55" s="112">
        <f t="shared" ca="1" si="136"/>
        <v>0</v>
      </c>
      <c r="BS55" s="112">
        <f t="shared" ca="1" si="137"/>
        <v>0</v>
      </c>
      <c r="BT55" s="112">
        <f t="shared" ca="1" si="138"/>
        <v>0</v>
      </c>
      <c r="BU55" s="112">
        <f t="shared" ca="1" si="139"/>
        <v>0</v>
      </c>
      <c r="BV55" s="112">
        <f t="shared" ca="1" si="140"/>
        <v>1.0028402005184651</v>
      </c>
      <c r="BW55" s="112">
        <f t="shared" ca="1" si="141"/>
        <v>2.1223838537933606</v>
      </c>
      <c r="BX55" s="112">
        <f t="shared" ca="1" si="142"/>
        <v>1.4637362862136929</v>
      </c>
      <c r="BY55" s="112">
        <f t="shared" ca="1" si="143"/>
        <v>2.9177385783129129E-14</v>
      </c>
      <c r="BZ55" s="112">
        <f t="shared" ca="1" si="144"/>
        <v>1.4084399742317031</v>
      </c>
      <c r="CA55" s="112">
        <f t="shared" ca="1" si="145"/>
        <v>-1.4344720267277537E-15</v>
      </c>
      <c r="CB55" s="112">
        <v>1</v>
      </c>
      <c r="CC55" s="112">
        <v>1</v>
      </c>
      <c r="CD55" s="112">
        <v>1</v>
      </c>
      <c r="CE55" s="112">
        <v>1</v>
      </c>
      <c r="CF55" s="109">
        <f t="shared" ca="1" si="146"/>
        <v>2.0592545975826586</v>
      </c>
      <c r="CG55" s="112">
        <f t="shared" ca="1" si="147"/>
        <v>1.3530848658608863</v>
      </c>
      <c r="CH55" s="255"/>
      <c r="CI55" s="150" t="str">
        <f t="shared" ca="1" si="148"/>
        <v>C40M0Y70K40</v>
      </c>
      <c r="CJ55" s="125">
        <f t="shared" ca="1" si="46"/>
        <v>0</v>
      </c>
      <c r="CK55" s="125">
        <f t="shared" ca="1" si="47"/>
        <v>0</v>
      </c>
      <c r="CL55" s="125">
        <f t="shared" ca="1" si="48"/>
        <v>0</v>
      </c>
      <c r="CM55" s="124">
        <f t="shared" ca="1" si="149"/>
        <v>0</v>
      </c>
      <c r="CN55" s="112">
        <f t="shared" ca="1" si="150"/>
        <v>0</v>
      </c>
      <c r="CO55" s="112">
        <f t="shared" ca="1" si="151"/>
        <v>0</v>
      </c>
      <c r="CP55" s="112">
        <f t="shared" ca="1" si="152"/>
        <v>0</v>
      </c>
      <c r="CQ55" s="112" t="str">
        <f t="shared" ca="1" si="71"/>
        <v/>
      </c>
      <c r="CR55" s="112" t="str">
        <f t="shared" ca="1" si="72"/>
        <v/>
      </c>
      <c r="CS55" s="112" t="str">
        <f t="shared" ca="1" si="73"/>
        <v/>
      </c>
      <c r="CT55" s="112" t="str">
        <f t="shared" ca="1" si="74"/>
        <v/>
      </c>
      <c r="CU55" s="112" t="str">
        <f t="shared" ca="1" si="75"/>
        <v/>
      </c>
      <c r="CV55" s="112" t="str">
        <f t="shared" ca="1" si="76"/>
        <v/>
      </c>
      <c r="CW55" s="112" t="str">
        <f ca="1">IF(OR(CI55="C75M66Y66K0",CI55="C50M40Y40K0",CI55="C25M19Y19K0",CI55="C10M7Y7K0",CI55="C90M85Y85K0",CI55="C3M2Y2K0"),CI55,"")</f>
        <v/>
      </c>
      <c r="CX55" s="112" t="str">
        <f t="shared" ca="1" si="77"/>
        <v/>
      </c>
      <c r="CY55" s="112" t="str">
        <f t="shared" ca="1" si="54"/>
        <v/>
      </c>
      <c r="CZ55" s="112" t="str">
        <f t="shared" ca="1" si="78"/>
        <v/>
      </c>
      <c r="DA55" s="112" t="str">
        <f t="shared" ca="1" si="55"/>
        <v/>
      </c>
      <c r="DB55" s="112" t="str">
        <f t="shared" ca="1" si="56"/>
        <v/>
      </c>
      <c r="DC55" s="112" t="str">
        <f t="shared" ca="1" si="57"/>
        <v/>
      </c>
      <c r="DD55" s="112" t="str">
        <f t="shared" ca="1" si="153"/>
        <v/>
      </c>
      <c r="DE55" s="112" t="str">
        <f t="shared" ref="DE55:DE61" ca="1" si="161">IFERROR(IF(DB55="","",(ABS(DC55)*(1-MAX(0,(DG55-50)/50*0.75)))),ABS(DC55)*(1-MAX(0,(DJ55-50)/50*0.75)))</f>
        <v/>
      </c>
      <c r="DF55" s="112" t="str">
        <f t="shared" ca="1" si="60"/>
        <v/>
      </c>
      <c r="DG55" s="125">
        <f t="shared" ca="1" si="154"/>
        <v>40</v>
      </c>
      <c r="DH55" s="125" t="str">
        <f t="shared" ca="1" si="155"/>
        <v>-</v>
      </c>
      <c r="DI55" s="125">
        <f t="shared" ca="1" si="156"/>
        <v>70</v>
      </c>
      <c r="DJ55" s="125">
        <f t="shared" ca="1" si="157"/>
        <v>40</v>
      </c>
      <c r="DK55" s="112">
        <f t="shared" ca="1" si="85"/>
        <v>0.16135049905744692</v>
      </c>
      <c r="DL55" s="112">
        <f t="shared" ca="1" si="86"/>
        <v>0.19208281304904368</v>
      </c>
      <c r="DM55" s="112">
        <f t="shared" ca="1" si="87"/>
        <v>9.0506702567659941E-2</v>
      </c>
      <c r="DN55" s="112">
        <f t="shared" si="158"/>
        <v>0.16135049905744692</v>
      </c>
      <c r="DO55" s="112">
        <f t="shared" si="159"/>
        <v>0.19208281304904368</v>
      </c>
      <c r="DP55" s="112">
        <f t="shared" si="160"/>
        <v>9.0506702567659941E-2</v>
      </c>
      <c r="DQ55" s="112">
        <f t="shared" ca="1" si="79"/>
        <v>50.93</v>
      </c>
      <c r="DR55" s="112">
        <f t="shared" ca="1" si="67"/>
        <v>-12.96</v>
      </c>
      <c r="DS55" s="112">
        <f t="shared" ca="1" si="68"/>
        <v>19.649999999999999</v>
      </c>
      <c r="DT55" s="112">
        <f t="shared" si="80"/>
        <v>50.93</v>
      </c>
      <c r="DU55" s="112">
        <f t="shared" si="81"/>
        <v>-12.96</v>
      </c>
      <c r="DV55" s="112">
        <f t="shared" si="82"/>
        <v>19.649999999999999</v>
      </c>
      <c r="DW55" s="260"/>
      <c r="DX55" s="168"/>
      <c r="DY55" s="168"/>
    </row>
    <row r="56" spans="1:129" s="151" customFormat="1" ht="14" customHeight="1">
      <c r="A56" s="158"/>
      <c r="B56" s="153">
        <f t="shared" ca="1" si="93"/>
        <v>70</v>
      </c>
      <c r="C56" s="154" t="str">
        <f t="shared" ca="1" si="94"/>
        <v>-</v>
      </c>
      <c r="D56" s="155">
        <f t="shared" ca="1" si="95"/>
        <v>100</v>
      </c>
      <c r="E56" s="156">
        <f t="shared" ca="1" si="96"/>
        <v>40</v>
      </c>
      <c r="F56" s="184"/>
      <c r="G56" s="195"/>
      <c r="H56" s="239">
        <v>44.77</v>
      </c>
      <c r="I56" s="240">
        <v>-21.13</v>
      </c>
      <c r="J56" s="241">
        <v>18.71</v>
      </c>
      <c r="K56" s="181"/>
      <c r="L56" s="204">
        <f t="shared" ca="1" si="97"/>
        <v>44.77</v>
      </c>
      <c r="M56" s="95">
        <f t="shared" ca="1" si="98"/>
        <v>-21.13</v>
      </c>
      <c r="N56" s="205">
        <f t="shared" ca="1" si="99"/>
        <v>18.71</v>
      </c>
      <c r="O56" s="21"/>
      <c r="P56" s="157">
        <f t="shared" ca="1" si="100"/>
        <v>0</v>
      </c>
      <c r="Q56" s="215"/>
      <c r="R56" s="289">
        <f t="shared" ca="1" si="101"/>
        <v>0</v>
      </c>
      <c r="S56" s="290"/>
      <c r="T56" s="148"/>
      <c r="U56" s="291">
        <f t="shared" ca="1" si="102"/>
        <v>0</v>
      </c>
      <c r="V56" s="292"/>
      <c r="W56" s="23"/>
      <c r="X56" s="291">
        <f t="shared" ca="1" si="103"/>
        <v>0</v>
      </c>
      <c r="Y56" s="292"/>
      <c r="Z56" s="215"/>
      <c r="AA56" s="215"/>
      <c r="AB56" s="215"/>
      <c r="AC56" s="94"/>
      <c r="AD56" s="94"/>
      <c r="AE56" s="149"/>
      <c r="AF56" s="149"/>
      <c r="AG56" s="112">
        <f t="shared" ca="1" si="104"/>
        <v>86.21</v>
      </c>
      <c r="AH56" s="112">
        <f t="shared" ca="1" si="105"/>
        <v>-0.79</v>
      </c>
      <c r="AI56" s="112">
        <f t="shared" ca="1" si="106"/>
        <v>11.08</v>
      </c>
      <c r="AJ56" s="112">
        <f t="shared" ca="1" si="107"/>
        <v>11.108127655010092</v>
      </c>
      <c r="AK56" s="112">
        <f t="shared" ca="1" si="108"/>
        <v>94.078266926957255</v>
      </c>
      <c r="AL56" s="255"/>
      <c r="AM56" s="112">
        <f t="shared" si="109"/>
        <v>86.21</v>
      </c>
      <c r="AN56" s="112">
        <f t="shared" si="110"/>
        <v>-0.79</v>
      </c>
      <c r="AO56" s="112">
        <f t="shared" si="111"/>
        <v>11.08</v>
      </c>
      <c r="AP56" s="112">
        <f t="shared" si="112"/>
        <v>11.108127655010092</v>
      </c>
      <c r="AQ56" s="112">
        <f t="shared" si="70"/>
        <v>94.078266926957255</v>
      </c>
      <c r="AR56" s="255"/>
      <c r="AS56" s="112">
        <f t="shared" ca="1" si="113"/>
        <v>0</v>
      </c>
      <c r="AT56" s="112">
        <f t="shared" ca="1" si="114"/>
        <v>0</v>
      </c>
      <c r="AU56" s="112">
        <f t="shared" ca="1" si="115"/>
        <v>0</v>
      </c>
      <c r="AV56" s="112">
        <f t="shared" ca="1" si="116"/>
        <v>0</v>
      </c>
      <c r="AW56" s="112">
        <f t="shared" ca="1" si="83"/>
        <v>0</v>
      </c>
      <c r="AX56" s="109">
        <f t="shared" ca="1" si="117"/>
        <v>0</v>
      </c>
      <c r="AY56" s="112">
        <f t="shared" si="118"/>
        <v>1.400874700315057</v>
      </c>
      <c r="AZ56" s="112">
        <f t="shared" si="119"/>
        <v>1.2566716311278192</v>
      </c>
      <c r="BA56" s="112">
        <f t="shared" si="120"/>
        <v>0.79710716296488893</v>
      </c>
      <c r="BB56" s="112">
        <f t="shared" si="121"/>
        <v>0.61215255881938391</v>
      </c>
      <c r="BC56" s="112">
        <f t="shared" si="122"/>
        <v>0.94289580070351275</v>
      </c>
      <c r="BD56" s="112">
        <f t="shared" ca="1" si="123"/>
        <v>86.21</v>
      </c>
      <c r="BE56" s="112">
        <f t="shared" si="124"/>
        <v>11.108127655010092</v>
      </c>
      <c r="BF56" s="112">
        <f t="shared" ca="1" si="125"/>
        <v>11.108127655010092</v>
      </c>
      <c r="BG56" s="112">
        <f t="shared" ca="1" si="126"/>
        <v>11.108127655010092</v>
      </c>
      <c r="BH56" s="112">
        <f t="shared" ca="1" si="127"/>
        <v>0.47081351336788763</v>
      </c>
      <c r="BI56" s="112">
        <f t="shared" ca="1" si="128"/>
        <v>-1.1619426755606312</v>
      </c>
      <c r="BJ56" s="112">
        <f t="shared" ca="1" si="129"/>
        <v>-1.1619426755606312</v>
      </c>
      <c r="BK56" s="112">
        <f t="shared" ca="1" si="130"/>
        <v>11.140758985872058</v>
      </c>
      <c r="BL56" s="112">
        <f t="shared" ca="1" si="131"/>
        <v>11.140758985872058</v>
      </c>
      <c r="BM56" s="112">
        <f t="shared" ca="1" si="132"/>
        <v>11.140758985872058</v>
      </c>
      <c r="BN56" s="112">
        <f t="shared" ca="1" si="29"/>
        <v>95.986639056088237</v>
      </c>
      <c r="BO56" s="112">
        <f t="shared" ca="1" si="133"/>
        <v>95.986639056088237</v>
      </c>
      <c r="BP56" s="112">
        <f t="shared" ca="1" si="134"/>
        <v>95.986639056088237</v>
      </c>
      <c r="BQ56" s="112">
        <f t="shared" ca="1" si="135"/>
        <v>0.67067934727555989</v>
      </c>
      <c r="BR56" s="112">
        <f t="shared" ca="1" si="136"/>
        <v>0</v>
      </c>
      <c r="BS56" s="112">
        <f t="shared" ca="1" si="137"/>
        <v>0</v>
      </c>
      <c r="BT56" s="112">
        <f t="shared" ca="1" si="138"/>
        <v>0</v>
      </c>
      <c r="BU56" s="112">
        <f t="shared" ca="1" si="139"/>
        <v>0</v>
      </c>
      <c r="BV56" s="112">
        <f t="shared" ca="1" si="140"/>
        <v>1.5390542945718857</v>
      </c>
      <c r="BW56" s="112">
        <f t="shared" ca="1" si="141"/>
        <v>1.5013341543642427</v>
      </c>
      <c r="BX56" s="112">
        <f t="shared" ca="1" si="142"/>
        <v>1.1120781544719849</v>
      </c>
      <c r="BY56" s="112">
        <f t="shared" ca="1" si="143"/>
        <v>1.6196837274911773E-21</v>
      </c>
      <c r="BZ56" s="112">
        <f t="shared" ca="1" si="144"/>
        <v>0.11794653066164378</v>
      </c>
      <c r="CA56" s="112">
        <f t="shared" ca="1" si="145"/>
        <v>-6.6684170474750042E-24</v>
      </c>
      <c r="CB56" s="112">
        <v>1</v>
      </c>
      <c r="CC56" s="112">
        <v>1</v>
      </c>
      <c r="CD56" s="112">
        <v>1</v>
      </c>
      <c r="CE56" s="112">
        <v>1</v>
      </c>
      <c r="CF56" s="109">
        <f t="shared" ca="1" si="146"/>
        <v>1.4998657444754542</v>
      </c>
      <c r="CG56" s="112">
        <f t="shared" ca="1" si="147"/>
        <v>1.1666219148251513</v>
      </c>
      <c r="CH56" s="255"/>
      <c r="CI56" s="150" t="str">
        <f t="shared" ca="1" si="148"/>
        <v>C0M0Y10K0</v>
      </c>
      <c r="CJ56" s="125">
        <f t="shared" ca="1" si="46"/>
        <v>0</v>
      </c>
      <c r="CK56" s="125">
        <f t="shared" ca="1" si="47"/>
        <v>0</v>
      </c>
      <c r="CL56" s="125">
        <f t="shared" ca="1" si="48"/>
        <v>0</v>
      </c>
      <c r="CM56" s="124">
        <f t="shared" ca="1" si="149"/>
        <v>0</v>
      </c>
      <c r="CN56" s="112">
        <f t="shared" ca="1" si="150"/>
        <v>0</v>
      </c>
      <c r="CO56" s="112">
        <f t="shared" ca="1" si="151"/>
        <v>0</v>
      </c>
      <c r="CP56" s="112">
        <f t="shared" ca="1" si="152"/>
        <v>0</v>
      </c>
      <c r="CQ56" s="112" t="str">
        <f t="shared" ca="1" si="71"/>
        <v/>
      </c>
      <c r="CR56" s="112" t="str">
        <f t="shared" ca="1" si="72"/>
        <v/>
      </c>
      <c r="CS56" s="112" t="str">
        <f t="shared" ca="1" si="73"/>
        <v/>
      </c>
      <c r="CT56" s="112" t="str">
        <f t="shared" ca="1" si="74"/>
        <v/>
      </c>
      <c r="CU56" s="112" t="str">
        <f t="shared" ca="1" si="75"/>
        <v/>
      </c>
      <c r="CV56" s="112" t="str">
        <f t="shared" ca="1" si="76"/>
        <v/>
      </c>
      <c r="CW56" s="112" t="str">
        <f t="shared" ref="CW56:CW97" ca="1" si="162">IF(OR(CI56="C75M66Y66K0",CI56="C50M40Y40K0",CI56="C25M19Y19K0",CI56="C10M7Y7K0",CI56="C90M85Y85K0",CI56="C3M2Y2K0"),CI56,"")</f>
        <v/>
      </c>
      <c r="CX56" s="112" t="str">
        <f t="shared" ca="1" si="77"/>
        <v/>
      </c>
      <c r="CY56" s="112" t="str">
        <f t="shared" ca="1" si="54"/>
        <v/>
      </c>
      <c r="CZ56" s="112" t="str">
        <f t="shared" ca="1" si="78"/>
        <v/>
      </c>
      <c r="DA56" s="112" t="str">
        <f t="shared" ca="1" si="55"/>
        <v/>
      </c>
      <c r="DB56" s="112" t="str">
        <f t="shared" ca="1" si="56"/>
        <v/>
      </c>
      <c r="DC56" s="112" t="str">
        <f t="shared" ca="1" si="57"/>
        <v/>
      </c>
      <c r="DD56" s="112" t="str">
        <f t="shared" ca="1" si="153"/>
        <v/>
      </c>
      <c r="DE56" s="112" t="str">
        <f t="shared" ca="1" si="161"/>
        <v/>
      </c>
      <c r="DF56" s="112" t="str">
        <f t="shared" ca="1" si="60"/>
        <v/>
      </c>
      <c r="DG56" s="125" t="str">
        <f t="shared" ca="1" si="154"/>
        <v>-</v>
      </c>
      <c r="DH56" s="125" t="str">
        <f t="shared" ca="1" si="155"/>
        <v>-</v>
      </c>
      <c r="DI56" s="125">
        <f t="shared" ca="1" si="156"/>
        <v>10</v>
      </c>
      <c r="DJ56" s="125" t="str">
        <f t="shared" ca="1" si="157"/>
        <v>-</v>
      </c>
      <c r="DK56" s="112">
        <f t="shared" ca="1" si="85"/>
        <v>0.65604697062346262</v>
      </c>
      <c r="DL56" s="112">
        <f t="shared" ca="1" si="86"/>
        <v>0.68407890331002175</v>
      </c>
      <c r="DM56" s="112">
        <f t="shared" ca="1" si="87"/>
        <v>0.46440918813013859</v>
      </c>
      <c r="DN56" s="112">
        <f t="shared" si="158"/>
        <v>0.65604697062346262</v>
      </c>
      <c r="DO56" s="112">
        <f t="shared" si="159"/>
        <v>0.68407890331002175</v>
      </c>
      <c r="DP56" s="112">
        <f t="shared" si="160"/>
        <v>0.46440918813013859</v>
      </c>
      <c r="DQ56" s="112">
        <f t="shared" ca="1" si="79"/>
        <v>86.21</v>
      </c>
      <c r="DR56" s="112">
        <f t="shared" ca="1" si="67"/>
        <v>-0.79</v>
      </c>
      <c r="DS56" s="112">
        <f t="shared" ca="1" si="68"/>
        <v>11.08</v>
      </c>
      <c r="DT56" s="112">
        <f t="shared" si="80"/>
        <v>86.21</v>
      </c>
      <c r="DU56" s="112">
        <f t="shared" si="81"/>
        <v>-0.79</v>
      </c>
      <c r="DV56" s="112">
        <f t="shared" si="82"/>
        <v>11.08</v>
      </c>
      <c r="DW56" s="260"/>
      <c r="DX56" s="168"/>
      <c r="DY56" s="168"/>
    </row>
    <row r="57" spans="1:129" s="151" customFormat="1" ht="14" customHeight="1">
      <c r="A57" s="158"/>
      <c r="B57" s="153" t="str">
        <f t="shared" ca="1" si="93"/>
        <v>-</v>
      </c>
      <c r="C57" s="154">
        <f t="shared" ca="1" si="94"/>
        <v>50</v>
      </c>
      <c r="D57" s="155" t="str">
        <f t="shared" ca="1" si="95"/>
        <v>-</v>
      </c>
      <c r="E57" s="156" t="str">
        <f t="shared" ca="1" si="96"/>
        <v>-</v>
      </c>
      <c r="F57" s="184"/>
      <c r="G57" s="195"/>
      <c r="H57" s="239">
        <v>66.150000000000006</v>
      </c>
      <c r="I57" s="240">
        <v>31.8</v>
      </c>
      <c r="J57" s="241">
        <v>-2.98</v>
      </c>
      <c r="K57" s="181"/>
      <c r="L57" s="204">
        <f t="shared" ca="1" si="97"/>
        <v>66.150000000000006</v>
      </c>
      <c r="M57" s="95">
        <f t="shared" ca="1" si="98"/>
        <v>31.8</v>
      </c>
      <c r="N57" s="205">
        <f t="shared" ca="1" si="99"/>
        <v>-2.98</v>
      </c>
      <c r="O57" s="21"/>
      <c r="P57" s="157">
        <f t="shared" ca="1" si="100"/>
        <v>0</v>
      </c>
      <c r="Q57" s="215"/>
      <c r="R57" s="289">
        <f t="shared" ca="1" si="101"/>
        <v>0</v>
      </c>
      <c r="S57" s="290"/>
      <c r="T57" s="148"/>
      <c r="U57" s="291">
        <f t="shared" ca="1" si="102"/>
        <v>0</v>
      </c>
      <c r="V57" s="292"/>
      <c r="W57" s="23"/>
      <c r="X57" s="291">
        <f t="shared" ca="1" si="103"/>
        <v>0</v>
      </c>
      <c r="Y57" s="292"/>
      <c r="Z57" s="215"/>
      <c r="AA57" s="215"/>
      <c r="AB57" s="215"/>
      <c r="AC57" s="94"/>
      <c r="AD57" s="94"/>
      <c r="AE57" s="149"/>
      <c r="AF57" s="149"/>
      <c r="AG57" s="112">
        <f t="shared" ca="1" si="104"/>
        <v>76.34</v>
      </c>
      <c r="AH57" s="112">
        <f t="shared" ca="1" si="105"/>
        <v>-11.32</v>
      </c>
      <c r="AI57" s="112">
        <f t="shared" ca="1" si="106"/>
        <v>10.18</v>
      </c>
      <c r="AJ57" s="112">
        <f t="shared" ca="1" si="107"/>
        <v>15.224151864718113</v>
      </c>
      <c r="AK57" s="112">
        <f t="shared" ca="1" si="108"/>
        <v>138.0351664814705</v>
      </c>
      <c r="AL57" s="255"/>
      <c r="AM57" s="112">
        <f t="shared" si="109"/>
        <v>76.34</v>
      </c>
      <c r="AN57" s="112">
        <f t="shared" si="110"/>
        <v>-11.32</v>
      </c>
      <c r="AO57" s="112">
        <f t="shared" si="111"/>
        <v>10.18</v>
      </c>
      <c r="AP57" s="112">
        <f t="shared" si="112"/>
        <v>15.224151864718113</v>
      </c>
      <c r="AQ57" s="112">
        <f t="shared" si="70"/>
        <v>138.0351664814705</v>
      </c>
      <c r="AR57" s="255"/>
      <c r="AS57" s="112">
        <f t="shared" ca="1" si="113"/>
        <v>0</v>
      </c>
      <c r="AT57" s="112">
        <f t="shared" ca="1" si="114"/>
        <v>0</v>
      </c>
      <c r="AU57" s="112">
        <f t="shared" ca="1" si="115"/>
        <v>0</v>
      </c>
      <c r="AV57" s="112">
        <f t="shared" ca="1" si="116"/>
        <v>0</v>
      </c>
      <c r="AW57" s="112">
        <f t="shared" ca="1" si="83"/>
        <v>0</v>
      </c>
      <c r="AX57" s="109">
        <f t="shared" ca="1" si="117"/>
        <v>0</v>
      </c>
      <c r="AY57" s="112">
        <f t="shared" si="118"/>
        <v>1.3325509787207213</v>
      </c>
      <c r="AZ57" s="112">
        <f t="shared" si="119"/>
        <v>1.4477977496183652</v>
      </c>
      <c r="BA57" s="112">
        <f t="shared" si="120"/>
        <v>1.102112954317205</v>
      </c>
      <c r="BB57" s="112">
        <f t="shared" si="121"/>
        <v>0.75704830581535565</v>
      </c>
      <c r="BC57" s="112">
        <f t="shared" si="122"/>
        <v>0.98277126256033076</v>
      </c>
      <c r="BD57" s="112">
        <f t="shared" ca="1" si="123"/>
        <v>76.34</v>
      </c>
      <c r="BE57" s="112">
        <f t="shared" si="124"/>
        <v>15.224151864718113</v>
      </c>
      <c r="BF57" s="112">
        <f t="shared" ca="1" si="125"/>
        <v>15.224151864718113</v>
      </c>
      <c r="BG57" s="112">
        <f t="shared" ca="1" si="126"/>
        <v>15.224151864718113</v>
      </c>
      <c r="BH57" s="112">
        <f t="shared" ca="1" si="127"/>
        <v>0.41322300031717102</v>
      </c>
      <c r="BI57" s="112">
        <f t="shared" ca="1" si="128"/>
        <v>-15.997684363590377</v>
      </c>
      <c r="BJ57" s="112">
        <f t="shared" ca="1" si="129"/>
        <v>-15.997684363590377</v>
      </c>
      <c r="BK57" s="112">
        <f t="shared" ca="1" si="130"/>
        <v>18.96202270321033</v>
      </c>
      <c r="BL57" s="112">
        <f t="shared" ca="1" si="131"/>
        <v>18.96202270321033</v>
      </c>
      <c r="BM57" s="112">
        <f t="shared" ca="1" si="132"/>
        <v>18.96202270321033</v>
      </c>
      <c r="BN57" s="112">
        <f t="shared" ca="1" si="29"/>
        <v>147.52968615537785</v>
      </c>
      <c r="BO57" s="112">
        <f t="shared" ca="1" si="133"/>
        <v>147.52968615537785</v>
      </c>
      <c r="BP57" s="112">
        <f t="shared" ca="1" si="134"/>
        <v>147.52968615537785</v>
      </c>
      <c r="BQ57" s="112">
        <f t="shared" ca="1" si="135"/>
        <v>1.3830753311241033</v>
      </c>
      <c r="BR57" s="112">
        <f t="shared" ca="1" si="136"/>
        <v>0</v>
      </c>
      <c r="BS57" s="112">
        <f t="shared" ca="1" si="137"/>
        <v>0</v>
      </c>
      <c r="BT57" s="112">
        <f t="shared" ca="1" si="138"/>
        <v>0</v>
      </c>
      <c r="BU57" s="112">
        <f t="shared" ca="1" si="139"/>
        <v>0</v>
      </c>
      <c r="BV57" s="112">
        <f t="shared" ca="1" si="140"/>
        <v>1.3895254760802218</v>
      </c>
      <c r="BW57" s="112">
        <f t="shared" ca="1" si="141"/>
        <v>1.8532910216444649</v>
      </c>
      <c r="BX57" s="112">
        <f t="shared" ca="1" si="142"/>
        <v>1.3933885874353809</v>
      </c>
      <c r="BY57" s="112">
        <f t="shared" ca="1" si="143"/>
        <v>1.5359650076195071E-10</v>
      </c>
      <c r="BZ57" s="112">
        <f t="shared" ca="1" si="144"/>
        <v>0.71046795666094764</v>
      </c>
      <c r="CA57" s="112">
        <f t="shared" ca="1" si="145"/>
        <v>-3.8091947774861242E-12</v>
      </c>
      <c r="CB57" s="112">
        <v>1</v>
      </c>
      <c r="CC57" s="112">
        <v>1</v>
      </c>
      <c r="CD57" s="112">
        <v>1</v>
      </c>
      <c r="CE57" s="112">
        <v>1</v>
      </c>
      <c r="CF57" s="109">
        <f t="shared" ca="1" si="146"/>
        <v>1.6850868339123151</v>
      </c>
      <c r="CG57" s="112">
        <f t="shared" ca="1" si="147"/>
        <v>1.2283622779707717</v>
      </c>
      <c r="CH57" s="255"/>
      <c r="CI57" s="150" t="str">
        <f t="shared" ca="1" si="148"/>
        <v>C25M0Y25K0</v>
      </c>
      <c r="CJ57" s="125">
        <f t="shared" ca="1" si="46"/>
        <v>0</v>
      </c>
      <c r="CK57" s="125">
        <f t="shared" ca="1" si="47"/>
        <v>0</v>
      </c>
      <c r="CL57" s="125">
        <f t="shared" ca="1" si="48"/>
        <v>0</v>
      </c>
      <c r="CM57" s="124">
        <f t="shared" ca="1" si="149"/>
        <v>0</v>
      </c>
      <c r="CN57" s="112">
        <f t="shared" ca="1" si="150"/>
        <v>0</v>
      </c>
      <c r="CO57" s="112">
        <f t="shared" ca="1" si="151"/>
        <v>0</v>
      </c>
      <c r="CP57" s="112">
        <f t="shared" ca="1" si="152"/>
        <v>0</v>
      </c>
      <c r="CQ57" s="112" t="str">
        <f t="shared" ca="1" si="71"/>
        <v/>
      </c>
      <c r="CR57" s="112" t="str">
        <f t="shared" ca="1" si="72"/>
        <v/>
      </c>
      <c r="CS57" s="112" t="str">
        <f t="shared" ca="1" si="73"/>
        <v/>
      </c>
      <c r="CT57" s="112" t="str">
        <f t="shared" ca="1" si="74"/>
        <v/>
      </c>
      <c r="CU57" s="112" t="str">
        <f t="shared" ca="1" si="75"/>
        <v/>
      </c>
      <c r="CV57" s="112" t="str">
        <f t="shared" ca="1" si="76"/>
        <v/>
      </c>
      <c r="CW57" s="112" t="str">
        <f t="shared" ca="1" si="162"/>
        <v/>
      </c>
      <c r="CX57" s="112" t="str">
        <f t="shared" ca="1" si="77"/>
        <v/>
      </c>
      <c r="CY57" s="112" t="str">
        <f t="shared" ca="1" si="54"/>
        <v/>
      </c>
      <c r="CZ57" s="112" t="str">
        <f t="shared" ca="1" si="78"/>
        <v/>
      </c>
      <c r="DA57" s="112" t="str">
        <f t="shared" ca="1" si="55"/>
        <v/>
      </c>
      <c r="DB57" s="112" t="str">
        <f t="shared" ca="1" si="56"/>
        <v/>
      </c>
      <c r="DC57" s="112" t="str">
        <f t="shared" ca="1" si="57"/>
        <v/>
      </c>
      <c r="DD57" s="112" t="str">
        <f t="shared" ca="1" si="153"/>
        <v/>
      </c>
      <c r="DE57" s="112" t="str">
        <f t="shared" ca="1" si="161"/>
        <v/>
      </c>
      <c r="DF57" s="112" t="str">
        <f t="shared" ca="1" si="60"/>
        <v/>
      </c>
      <c r="DG57" s="125">
        <f t="shared" ca="1" si="154"/>
        <v>25</v>
      </c>
      <c r="DH57" s="125" t="str">
        <f t="shared" ca="1" si="155"/>
        <v>-</v>
      </c>
      <c r="DI57" s="125">
        <f t="shared" ca="1" si="156"/>
        <v>25</v>
      </c>
      <c r="DJ57" s="125" t="str">
        <f t="shared" ca="1" si="157"/>
        <v>-</v>
      </c>
      <c r="DK57" s="112">
        <f t="shared" ca="1" si="85"/>
        <v>0.44603643487209621</v>
      </c>
      <c r="DL57" s="112">
        <f t="shared" ca="1" si="86"/>
        <v>0.50442388532227656</v>
      </c>
      <c r="DM57" s="112">
        <f t="shared" ca="1" si="87"/>
        <v>0.34127563941611599</v>
      </c>
      <c r="DN57" s="112">
        <f t="shared" si="158"/>
        <v>0.44603643487209621</v>
      </c>
      <c r="DO57" s="112">
        <f t="shared" si="159"/>
        <v>0.50442388532227656</v>
      </c>
      <c r="DP57" s="112">
        <f t="shared" si="160"/>
        <v>0.34127563941611599</v>
      </c>
      <c r="DQ57" s="112">
        <f t="shared" ca="1" si="79"/>
        <v>76.34</v>
      </c>
      <c r="DR57" s="112">
        <f t="shared" ca="1" si="67"/>
        <v>-11.32</v>
      </c>
      <c r="DS57" s="112">
        <f t="shared" ca="1" si="68"/>
        <v>10.18</v>
      </c>
      <c r="DT57" s="112">
        <f t="shared" si="80"/>
        <v>76.34</v>
      </c>
      <c r="DU57" s="112">
        <f t="shared" si="81"/>
        <v>-11.32</v>
      </c>
      <c r="DV57" s="112">
        <f t="shared" si="82"/>
        <v>10.18</v>
      </c>
      <c r="DW57" s="260"/>
      <c r="DX57" s="168"/>
      <c r="DY57" s="168"/>
    </row>
    <row r="58" spans="1:129" s="151" customFormat="1" ht="14" customHeight="1">
      <c r="A58" s="158"/>
      <c r="B58" s="153" t="str">
        <f t="shared" ca="1" si="93"/>
        <v>-</v>
      </c>
      <c r="C58" s="154">
        <f t="shared" ca="1" si="94"/>
        <v>75</v>
      </c>
      <c r="D58" s="155">
        <f t="shared" ca="1" si="95"/>
        <v>75</v>
      </c>
      <c r="E58" s="156" t="str">
        <f t="shared" ca="1" si="96"/>
        <v>-</v>
      </c>
      <c r="F58" s="184"/>
      <c r="G58" s="195"/>
      <c r="H58" s="239">
        <v>56.66</v>
      </c>
      <c r="I58" s="240">
        <v>44.43</v>
      </c>
      <c r="J58" s="241">
        <v>29.05</v>
      </c>
      <c r="K58" s="181"/>
      <c r="L58" s="204">
        <f t="shared" ca="1" si="97"/>
        <v>56.66</v>
      </c>
      <c r="M58" s="95">
        <f t="shared" ca="1" si="98"/>
        <v>44.43</v>
      </c>
      <c r="N58" s="205">
        <f t="shared" ca="1" si="99"/>
        <v>29.05</v>
      </c>
      <c r="O58" s="21"/>
      <c r="P58" s="157">
        <f t="shared" ca="1" si="100"/>
        <v>0</v>
      </c>
      <c r="Q58" s="215"/>
      <c r="R58" s="289">
        <f t="shared" ca="1" si="101"/>
        <v>0</v>
      </c>
      <c r="S58" s="290"/>
      <c r="T58" s="148"/>
      <c r="U58" s="291">
        <f t="shared" ca="1" si="102"/>
        <v>0</v>
      </c>
      <c r="V58" s="292"/>
      <c r="W58" s="23"/>
      <c r="X58" s="291">
        <f t="shared" ca="1" si="103"/>
        <v>0</v>
      </c>
      <c r="Y58" s="292"/>
      <c r="Z58" s="215"/>
      <c r="AA58" s="215"/>
      <c r="AB58" s="215"/>
      <c r="AC58" s="94"/>
      <c r="AD58" s="94"/>
      <c r="AE58" s="149"/>
      <c r="AF58" s="149"/>
      <c r="AG58" s="112">
        <f t="shared" ca="1" si="104"/>
        <v>46.36</v>
      </c>
      <c r="AH58" s="112">
        <f t="shared" ca="1" si="105"/>
        <v>-18.03</v>
      </c>
      <c r="AI58" s="112">
        <f t="shared" ca="1" si="106"/>
        <v>0.12</v>
      </c>
      <c r="AJ58" s="112">
        <f t="shared" ca="1" si="107"/>
        <v>18.030399330020398</v>
      </c>
      <c r="AK58" s="112">
        <f t="shared" ca="1" si="108"/>
        <v>179.61866932757692</v>
      </c>
      <c r="AL58" s="255"/>
      <c r="AM58" s="112">
        <f t="shared" si="109"/>
        <v>46.36</v>
      </c>
      <c r="AN58" s="112">
        <f t="shared" si="110"/>
        <v>-18.03</v>
      </c>
      <c r="AO58" s="112">
        <f t="shared" si="111"/>
        <v>0.12</v>
      </c>
      <c r="AP58" s="112">
        <f t="shared" si="112"/>
        <v>18.030399330020398</v>
      </c>
      <c r="AQ58" s="112">
        <f t="shared" si="70"/>
        <v>179.61866932757692</v>
      </c>
      <c r="AR58" s="255"/>
      <c r="AS58" s="112">
        <f t="shared" ca="1" si="113"/>
        <v>0</v>
      </c>
      <c r="AT58" s="112">
        <f t="shared" ca="1" si="114"/>
        <v>0</v>
      </c>
      <c r="AU58" s="112">
        <f t="shared" ca="1" si="115"/>
        <v>0</v>
      </c>
      <c r="AV58" s="112">
        <f t="shared" ca="1" si="116"/>
        <v>0</v>
      </c>
      <c r="AW58" s="112">
        <f t="shared" ca="1" si="83"/>
        <v>0</v>
      </c>
      <c r="AX58" s="109">
        <f t="shared" ca="1" si="117"/>
        <v>0</v>
      </c>
      <c r="AY58" s="112">
        <f t="shared" si="118"/>
        <v>1.0447390738587676</v>
      </c>
      <c r="AZ58" s="112">
        <f t="shared" si="119"/>
        <v>1.5685461277978006</v>
      </c>
      <c r="BA58" s="112">
        <f t="shared" si="120"/>
        <v>1.1882024774158093</v>
      </c>
      <c r="BB58" s="112">
        <f t="shared" si="121"/>
        <v>0.75534843922186679</v>
      </c>
      <c r="BC58" s="112">
        <f t="shared" si="122"/>
        <v>0.99113059999137487</v>
      </c>
      <c r="BD58" s="112">
        <f t="shared" ca="1" si="123"/>
        <v>46.36</v>
      </c>
      <c r="BE58" s="112">
        <f t="shared" si="124"/>
        <v>18.030399330020398</v>
      </c>
      <c r="BF58" s="112">
        <f t="shared" ca="1" si="125"/>
        <v>18.030399330020398</v>
      </c>
      <c r="BG58" s="112">
        <f t="shared" ca="1" si="126"/>
        <v>18.030399330020398</v>
      </c>
      <c r="BH58" s="112">
        <f t="shared" ca="1" si="127"/>
        <v>0.34822269667293837</v>
      </c>
      <c r="BI58" s="112">
        <f t="shared" ca="1" si="128"/>
        <v>-24.308455221013077</v>
      </c>
      <c r="BJ58" s="112">
        <f t="shared" ca="1" si="129"/>
        <v>-24.308455221013077</v>
      </c>
      <c r="BK58" s="112">
        <f t="shared" ca="1" si="130"/>
        <v>24.308751412443993</v>
      </c>
      <c r="BL58" s="112">
        <f t="shared" ca="1" si="131"/>
        <v>24.308751412443993</v>
      </c>
      <c r="BM58" s="112">
        <f t="shared" ca="1" si="132"/>
        <v>24.308751412443993</v>
      </c>
      <c r="BN58" s="112">
        <f t="shared" ca="1" si="29"/>
        <v>179.71715859239319</v>
      </c>
      <c r="BO58" s="112">
        <f t="shared" ca="1" si="133"/>
        <v>179.71715859239319</v>
      </c>
      <c r="BP58" s="112">
        <f t="shared" ca="1" si="134"/>
        <v>179.71715859239319</v>
      </c>
      <c r="BQ58" s="112">
        <f t="shared" ca="1" si="135"/>
        <v>0.98082191509503014</v>
      </c>
      <c r="BR58" s="112">
        <f t="shared" ca="1" si="136"/>
        <v>0</v>
      </c>
      <c r="BS58" s="112">
        <f t="shared" ca="1" si="137"/>
        <v>0</v>
      </c>
      <c r="BT58" s="112">
        <f t="shared" ca="1" si="138"/>
        <v>0</v>
      </c>
      <c r="BU58" s="112">
        <f t="shared" ca="1" si="139"/>
        <v>0</v>
      </c>
      <c r="BV58" s="112">
        <f t="shared" ca="1" si="140"/>
        <v>1.0344667880762699</v>
      </c>
      <c r="BW58" s="112">
        <f t="shared" ca="1" si="141"/>
        <v>2.0938938135599798</v>
      </c>
      <c r="BX58" s="112">
        <f t="shared" ca="1" si="142"/>
        <v>1.3576383417088351</v>
      </c>
      <c r="BY58" s="112">
        <f t="shared" ca="1" si="143"/>
        <v>1.4740460870016954E-5</v>
      </c>
      <c r="BZ58" s="112">
        <f t="shared" ca="1" si="144"/>
        <v>1.3432616659641969</v>
      </c>
      <c r="CA58" s="112">
        <f t="shared" ca="1" si="145"/>
        <v>-6.911607170233949E-7</v>
      </c>
      <c r="CB58" s="112">
        <v>1</v>
      </c>
      <c r="CC58" s="112">
        <v>1</v>
      </c>
      <c r="CD58" s="112">
        <v>1</v>
      </c>
      <c r="CE58" s="112">
        <v>1</v>
      </c>
      <c r="CF58" s="109">
        <f t="shared" ca="1" si="146"/>
        <v>1.811367969850918</v>
      </c>
      <c r="CG58" s="112">
        <f t="shared" ca="1" si="147"/>
        <v>1.2704559899503058</v>
      </c>
      <c r="CH58" s="255"/>
      <c r="CI58" s="150" t="str">
        <f t="shared" ca="1" si="148"/>
        <v>C70M0Y40K40</v>
      </c>
      <c r="CJ58" s="125">
        <f t="shared" ca="1" si="46"/>
        <v>0</v>
      </c>
      <c r="CK58" s="125">
        <f t="shared" ca="1" si="47"/>
        <v>0</v>
      </c>
      <c r="CL58" s="125">
        <f t="shared" ca="1" si="48"/>
        <v>0</v>
      </c>
      <c r="CM58" s="124">
        <f t="shared" ca="1" si="149"/>
        <v>0</v>
      </c>
      <c r="CN58" s="112">
        <f t="shared" ca="1" si="150"/>
        <v>0</v>
      </c>
      <c r="CO58" s="112">
        <f t="shared" ca="1" si="151"/>
        <v>0</v>
      </c>
      <c r="CP58" s="112">
        <f t="shared" ca="1" si="152"/>
        <v>0</v>
      </c>
      <c r="CQ58" s="112" t="str">
        <f t="shared" ca="1" si="71"/>
        <v/>
      </c>
      <c r="CR58" s="112" t="str">
        <f t="shared" ca="1" si="72"/>
        <v/>
      </c>
      <c r="CS58" s="112" t="str">
        <f t="shared" ca="1" si="73"/>
        <v/>
      </c>
      <c r="CT58" s="112" t="str">
        <f t="shared" ca="1" si="74"/>
        <v/>
      </c>
      <c r="CU58" s="112" t="str">
        <f t="shared" ca="1" si="75"/>
        <v/>
      </c>
      <c r="CV58" s="112" t="str">
        <f t="shared" ca="1" si="76"/>
        <v/>
      </c>
      <c r="CW58" s="112" t="str">
        <f t="shared" ca="1" si="162"/>
        <v/>
      </c>
      <c r="CX58" s="112" t="str">
        <f t="shared" ca="1" si="77"/>
        <v/>
      </c>
      <c r="CY58" s="112" t="str">
        <f t="shared" ca="1" si="54"/>
        <v/>
      </c>
      <c r="CZ58" s="112" t="str">
        <f t="shared" ca="1" si="78"/>
        <v/>
      </c>
      <c r="DA58" s="112" t="str">
        <f t="shared" ca="1" si="55"/>
        <v/>
      </c>
      <c r="DB58" s="112" t="str">
        <f t="shared" ca="1" si="56"/>
        <v/>
      </c>
      <c r="DC58" s="112" t="str">
        <f t="shared" ca="1" si="57"/>
        <v/>
      </c>
      <c r="DD58" s="112" t="str">
        <f t="shared" ca="1" si="153"/>
        <v/>
      </c>
      <c r="DE58" s="112" t="str">
        <f t="shared" ca="1" si="161"/>
        <v/>
      </c>
      <c r="DF58" s="112" t="str">
        <f t="shared" ca="1" si="60"/>
        <v/>
      </c>
      <c r="DG58" s="125">
        <f t="shared" ca="1" si="154"/>
        <v>70</v>
      </c>
      <c r="DH58" s="125" t="str">
        <f t="shared" ca="1" si="155"/>
        <v>-</v>
      </c>
      <c r="DI58" s="125">
        <f t="shared" ca="1" si="156"/>
        <v>40</v>
      </c>
      <c r="DJ58" s="125">
        <f t="shared" ca="1" si="157"/>
        <v>40</v>
      </c>
      <c r="DK58" s="112">
        <f t="shared" ca="1" si="85"/>
        <v>0.12163204882240165</v>
      </c>
      <c r="DL58" s="112">
        <f t="shared" ca="1" si="86"/>
        <v>0.15536183849276311</v>
      </c>
      <c r="DM58" s="112">
        <f t="shared" ca="1" si="87"/>
        <v>0.12772934793473978</v>
      </c>
      <c r="DN58" s="112">
        <f t="shared" si="158"/>
        <v>0.12163204882240165</v>
      </c>
      <c r="DO58" s="112">
        <f t="shared" si="159"/>
        <v>0.15536183849276311</v>
      </c>
      <c r="DP58" s="112">
        <f t="shared" si="160"/>
        <v>0.12772934793473978</v>
      </c>
      <c r="DQ58" s="112">
        <f t="shared" ca="1" si="79"/>
        <v>46.36</v>
      </c>
      <c r="DR58" s="112">
        <f t="shared" ca="1" si="67"/>
        <v>-18.03</v>
      </c>
      <c r="DS58" s="112">
        <f t="shared" ca="1" si="68"/>
        <v>0.12</v>
      </c>
      <c r="DT58" s="112">
        <f t="shared" si="80"/>
        <v>46.36</v>
      </c>
      <c r="DU58" s="112">
        <f t="shared" si="81"/>
        <v>-18.03</v>
      </c>
      <c r="DV58" s="112">
        <f t="shared" si="82"/>
        <v>0.12</v>
      </c>
      <c r="DW58" s="260"/>
      <c r="DX58" s="168"/>
      <c r="DY58" s="168"/>
    </row>
    <row r="59" spans="1:129" s="151" customFormat="1" ht="14" customHeight="1">
      <c r="A59" s="158"/>
      <c r="B59" s="153">
        <f t="shared" ca="1" si="93"/>
        <v>100</v>
      </c>
      <c r="C59" s="154" t="str">
        <f t="shared" ca="1" si="94"/>
        <v>-</v>
      </c>
      <c r="D59" s="155">
        <f t="shared" ca="1" si="95"/>
        <v>100</v>
      </c>
      <c r="E59" s="156">
        <f t="shared" ca="1" si="96"/>
        <v>40</v>
      </c>
      <c r="F59" s="184"/>
      <c r="G59" s="195"/>
      <c r="H59" s="239">
        <v>40.83</v>
      </c>
      <c r="I59" s="240">
        <v>-27.24</v>
      </c>
      <c r="J59" s="241">
        <v>11.4</v>
      </c>
      <c r="K59" s="181"/>
      <c r="L59" s="204">
        <f t="shared" ca="1" si="97"/>
        <v>40.83</v>
      </c>
      <c r="M59" s="95">
        <f t="shared" ca="1" si="98"/>
        <v>-27.24</v>
      </c>
      <c r="N59" s="205">
        <f t="shared" ca="1" si="99"/>
        <v>11.4</v>
      </c>
      <c r="O59" s="21"/>
      <c r="P59" s="157">
        <f t="shared" ca="1" si="100"/>
        <v>0</v>
      </c>
      <c r="Q59" s="215"/>
      <c r="R59" s="289">
        <f t="shared" ca="1" si="101"/>
        <v>0</v>
      </c>
      <c r="S59" s="290"/>
      <c r="T59" s="148"/>
      <c r="U59" s="291">
        <f t="shared" ca="1" si="102"/>
        <v>0</v>
      </c>
      <c r="V59" s="292"/>
      <c r="W59" s="23"/>
      <c r="X59" s="291">
        <f t="shared" ca="1" si="103"/>
        <v>0</v>
      </c>
      <c r="Y59" s="292"/>
      <c r="Z59" s="215"/>
      <c r="AA59" s="215"/>
      <c r="AB59" s="215"/>
      <c r="AC59" s="94"/>
      <c r="AD59" s="94"/>
      <c r="AE59" s="149"/>
      <c r="AF59" s="149"/>
      <c r="AG59" s="112">
        <f t="shared" ca="1" si="104"/>
        <v>22.03</v>
      </c>
      <c r="AH59" s="112">
        <f t="shared" ca="1" si="105"/>
        <v>0.8</v>
      </c>
      <c r="AI59" s="112">
        <f t="shared" ca="1" si="106"/>
        <v>1.26</v>
      </c>
      <c r="AJ59" s="112">
        <f t="shared" ca="1" si="107"/>
        <v>1.4925146565444509</v>
      </c>
      <c r="AK59" s="112">
        <f t="shared" ca="1" si="108"/>
        <v>57.587693381648798</v>
      </c>
      <c r="AL59" s="255"/>
      <c r="AM59" s="112">
        <f t="shared" si="109"/>
        <v>22.03</v>
      </c>
      <c r="AN59" s="112">
        <f t="shared" si="110"/>
        <v>0.8</v>
      </c>
      <c r="AO59" s="112">
        <f t="shared" si="111"/>
        <v>1.26</v>
      </c>
      <c r="AP59" s="112">
        <f t="shared" si="112"/>
        <v>1.4925146565444509</v>
      </c>
      <c r="AQ59" s="112">
        <f t="shared" si="70"/>
        <v>57.587693381648798</v>
      </c>
      <c r="AR59" s="255"/>
      <c r="AS59" s="112">
        <f t="shared" ca="1" si="113"/>
        <v>0</v>
      </c>
      <c r="AT59" s="112">
        <f t="shared" ca="1" si="114"/>
        <v>0</v>
      </c>
      <c r="AU59" s="112">
        <f t="shared" ca="1" si="115"/>
        <v>0</v>
      </c>
      <c r="AV59" s="112">
        <f t="shared" ca="1" si="116"/>
        <v>0</v>
      </c>
      <c r="AW59" s="112">
        <f t="shared" ca="1" si="83"/>
        <v>0</v>
      </c>
      <c r="AX59" s="109">
        <f t="shared" ca="1" si="117"/>
        <v>0</v>
      </c>
      <c r="AY59" s="112">
        <f t="shared" si="118"/>
        <v>0.64995685215499821</v>
      </c>
      <c r="AZ59" s="112">
        <f t="shared" si="119"/>
        <v>0.73139635497204281</v>
      </c>
      <c r="BA59" s="112">
        <f t="shared" si="120"/>
        <v>0.70817990829551281</v>
      </c>
      <c r="BB59" s="112">
        <f t="shared" si="121"/>
        <v>0.3780593668747313</v>
      </c>
      <c r="BC59" s="112">
        <f t="shared" si="122"/>
        <v>5.1038044684586323E-2</v>
      </c>
      <c r="BD59" s="112">
        <f t="shared" ca="1" si="123"/>
        <v>22.03</v>
      </c>
      <c r="BE59" s="112">
        <f t="shared" si="124"/>
        <v>1.4925146565444509</v>
      </c>
      <c r="BF59" s="112">
        <f t="shared" ca="1" si="125"/>
        <v>1.4925146565444509</v>
      </c>
      <c r="BG59" s="112">
        <f t="shared" ca="1" si="126"/>
        <v>1.4925146565444509</v>
      </c>
      <c r="BH59" s="112">
        <f t="shared" ca="1" si="127"/>
        <v>0.49997400468469272</v>
      </c>
      <c r="BI59" s="112">
        <f t="shared" ca="1" si="128"/>
        <v>1.1999792037477544</v>
      </c>
      <c r="BJ59" s="112">
        <f t="shared" ca="1" si="129"/>
        <v>1.1999792037477544</v>
      </c>
      <c r="BK59" s="112">
        <f t="shared" ca="1" si="130"/>
        <v>1.7399856578222404</v>
      </c>
      <c r="BL59" s="112">
        <f t="shared" ca="1" si="131"/>
        <v>1.7399856578222404</v>
      </c>
      <c r="BM59" s="112">
        <f t="shared" ca="1" si="132"/>
        <v>1.7399856578222404</v>
      </c>
      <c r="BN59" s="112">
        <f t="shared" ca="1" si="29"/>
        <v>46.397676914997568</v>
      </c>
      <c r="BO59" s="112">
        <f t="shared" ca="1" si="133"/>
        <v>46.397676914997568</v>
      </c>
      <c r="BP59" s="112">
        <f t="shared" ca="1" si="134"/>
        <v>46.397676914997568</v>
      </c>
      <c r="BQ59" s="112">
        <f t="shared" ca="1" si="135"/>
        <v>0.67019147099950083</v>
      </c>
      <c r="BR59" s="112">
        <f t="shared" ca="1" si="136"/>
        <v>0</v>
      </c>
      <c r="BS59" s="112">
        <f t="shared" ca="1" si="137"/>
        <v>0</v>
      </c>
      <c r="BT59" s="112">
        <f t="shared" ca="1" si="138"/>
        <v>0</v>
      </c>
      <c r="BU59" s="112">
        <f t="shared" ca="1" si="139"/>
        <v>0</v>
      </c>
      <c r="BV59" s="112">
        <f t="shared" ca="1" si="140"/>
        <v>1.4142877949777879</v>
      </c>
      <c r="BW59" s="112">
        <f t="shared" ca="1" si="141"/>
        <v>1.0782993546020008</v>
      </c>
      <c r="BX59" s="112">
        <f t="shared" ca="1" si="142"/>
        <v>1.0174918532130088</v>
      </c>
      <c r="BY59" s="112">
        <f t="shared" ca="1" si="143"/>
        <v>1.458254605199251E-35</v>
      </c>
      <c r="BZ59" s="112">
        <f t="shared" ca="1" si="144"/>
        <v>1.7788929071098104E-4</v>
      </c>
      <c r="CA59" s="112">
        <f t="shared" ca="1" si="145"/>
        <v>-9.0550431323021256E-41</v>
      </c>
      <c r="CB59" s="112">
        <v>1</v>
      </c>
      <c r="CC59" s="112">
        <v>1</v>
      </c>
      <c r="CD59" s="112">
        <v>1</v>
      </c>
      <c r="CE59" s="112">
        <v>1</v>
      </c>
      <c r="CF59" s="109">
        <f t="shared" ca="1" si="146"/>
        <v>1.0671631595445004</v>
      </c>
      <c r="CG59" s="112">
        <f t="shared" ca="1" si="147"/>
        <v>1.0223877198481668</v>
      </c>
      <c r="CH59" s="255"/>
      <c r="CI59" s="150" t="str">
        <f t="shared" ca="1" si="148"/>
        <v>C100M100Y100K100</v>
      </c>
      <c r="CJ59" s="125">
        <f t="shared" ca="1" si="46"/>
        <v>0</v>
      </c>
      <c r="CK59" s="125">
        <f t="shared" ca="1" si="47"/>
        <v>0</v>
      </c>
      <c r="CL59" s="125">
        <f t="shared" ca="1" si="48"/>
        <v>0</v>
      </c>
      <c r="CM59" s="124">
        <f t="shared" ca="1" si="149"/>
        <v>0</v>
      </c>
      <c r="CN59" s="112">
        <f t="shared" ca="1" si="150"/>
        <v>0</v>
      </c>
      <c r="CO59" s="112">
        <f t="shared" ca="1" si="151"/>
        <v>0</v>
      </c>
      <c r="CP59" s="112">
        <f t="shared" ca="1" si="152"/>
        <v>0</v>
      </c>
      <c r="CQ59" s="112" t="str">
        <f t="shared" ca="1" si="71"/>
        <v/>
      </c>
      <c r="CR59" s="112" t="str">
        <f t="shared" ca="1" si="72"/>
        <v/>
      </c>
      <c r="CS59" s="112" t="str">
        <f t="shared" ca="1" si="73"/>
        <v/>
      </c>
      <c r="CT59" s="112" t="str">
        <f t="shared" ca="1" si="74"/>
        <v/>
      </c>
      <c r="CU59" s="112" t="str">
        <f t="shared" ca="1" si="75"/>
        <v/>
      </c>
      <c r="CV59" s="112" t="str">
        <f t="shared" ca="1" si="76"/>
        <v/>
      </c>
      <c r="CW59" s="112" t="str">
        <f t="shared" ca="1" si="162"/>
        <v/>
      </c>
      <c r="CX59" s="112" t="str">
        <f t="shared" ca="1" si="77"/>
        <v/>
      </c>
      <c r="CY59" s="112" t="str">
        <f t="shared" ca="1" si="54"/>
        <v/>
      </c>
      <c r="CZ59" s="112" t="str">
        <f t="shared" ca="1" si="78"/>
        <v/>
      </c>
      <c r="DA59" s="112" t="str">
        <f t="shared" ca="1" si="55"/>
        <v/>
      </c>
      <c r="DB59" s="112" t="str">
        <f t="shared" ca="1" si="56"/>
        <v/>
      </c>
      <c r="DC59" s="112" t="str">
        <f t="shared" ca="1" si="57"/>
        <v/>
      </c>
      <c r="DD59" s="112" t="str">
        <f t="shared" ca="1" si="153"/>
        <v/>
      </c>
      <c r="DE59" s="112" t="str">
        <f t="shared" ca="1" si="161"/>
        <v/>
      </c>
      <c r="DF59" s="112" t="str">
        <f t="shared" ca="1" si="60"/>
        <v/>
      </c>
      <c r="DG59" s="125">
        <f t="shared" ca="1" si="154"/>
        <v>100</v>
      </c>
      <c r="DH59" s="125">
        <f t="shared" ca="1" si="155"/>
        <v>100</v>
      </c>
      <c r="DI59" s="125">
        <f t="shared" ca="1" si="156"/>
        <v>100</v>
      </c>
      <c r="DJ59" s="125">
        <f t="shared" ca="1" si="157"/>
        <v>100</v>
      </c>
      <c r="DK59" s="112">
        <f t="shared" ca="1" si="85"/>
        <v>3.4475867836692965E-2</v>
      </c>
      <c r="DL59" s="112">
        <f t="shared" ca="1" si="86"/>
        <v>3.5237493482589498E-2</v>
      </c>
      <c r="DM59" s="112">
        <f t="shared" ca="1" si="87"/>
        <v>2.742368976029488E-2</v>
      </c>
      <c r="DN59" s="112">
        <f t="shared" si="158"/>
        <v>3.4475867836692965E-2</v>
      </c>
      <c r="DO59" s="112">
        <f t="shared" si="159"/>
        <v>3.5237493482589498E-2</v>
      </c>
      <c r="DP59" s="112">
        <f t="shared" si="160"/>
        <v>2.742368976029488E-2</v>
      </c>
      <c r="DQ59" s="112">
        <f t="shared" ca="1" si="79"/>
        <v>22.03</v>
      </c>
      <c r="DR59" s="112">
        <f t="shared" ca="1" si="67"/>
        <v>0.8</v>
      </c>
      <c r="DS59" s="112">
        <f t="shared" ca="1" si="68"/>
        <v>1.26</v>
      </c>
      <c r="DT59" s="112">
        <f t="shared" si="80"/>
        <v>22.03</v>
      </c>
      <c r="DU59" s="112">
        <f t="shared" si="81"/>
        <v>0.8</v>
      </c>
      <c r="DV59" s="112">
        <f t="shared" si="82"/>
        <v>1.26</v>
      </c>
      <c r="DW59" s="260"/>
      <c r="DX59" s="168"/>
      <c r="DY59" s="168"/>
    </row>
    <row r="60" spans="1:129" s="151" customFormat="1" ht="14" customHeight="1">
      <c r="A60" s="158"/>
      <c r="B60" s="153" t="str">
        <f t="shared" ca="1" si="93"/>
        <v>-</v>
      </c>
      <c r="C60" s="154">
        <f t="shared" ca="1" si="94"/>
        <v>25</v>
      </c>
      <c r="D60" s="155" t="str">
        <f t="shared" ca="1" si="95"/>
        <v>-</v>
      </c>
      <c r="E60" s="156" t="str">
        <f t="shared" ca="1" si="96"/>
        <v>-</v>
      </c>
      <c r="F60" s="184"/>
      <c r="G60" s="195"/>
      <c r="H60" s="239">
        <v>75.849999999999994</v>
      </c>
      <c r="I60" s="240">
        <v>16.52</v>
      </c>
      <c r="J60" s="241">
        <v>-0.77</v>
      </c>
      <c r="K60" s="181"/>
      <c r="L60" s="204">
        <f t="shared" ca="1" si="97"/>
        <v>75.849999999999994</v>
      </c>
      <c r="M60" s="95">
        <f t="shared" ca="1" si="98"/>
        <v>16.52</v>
      </c>
      <c r="N60" s="205">
        <f t="shared" ca="1" si="99"/>
        <v>-0.77</v>
      </c>
      <c r="O60" s="21"/>
      <c r="P60" s="157">
        <f t="shared" ca="1" si="100"/>
        <v>0</v>
      </c>
      <c r="Q60" s="215"/>
      <c r="R60" s="289">
        <f t="shared" ca="1" si="101"/>
        <v>0</v>
      </c>
      <c r="S60" s="290"/>
      <c r="T60" s="148"/>
      <c r="U60" s="291">
        <f t="shared" ca="1" si="102"/>
        <v>0</v>
      </c>
      <c r="V60" s="292"/>
      <c r="W60" s="23"/>
      <c r="X60" s="291">
        <f t="shared" ca="1" si="103"/>
        <v>0</v>
      </c>
      <c r="Y60" s="292"/>
      <c r="Z60" s="215"/>
      <c r="AA60" s="215"/>
      <c r="AB60" s="215"/>
      <c r="AC60" s="94"/>
      <c r="AD60" s="94"/>
      <c r="AE60" s="149"/>
      <c r="AF60" s="149"/>
      <c r="AG60" s="112">
        <f t="shared" ca="1" si="104"/>
        <v>87</v>
      </c>
      <c r="AH60" s="112">
        <f t="shared" ca="1" si="105"/>
        <v>0</v>
      </c>
      <c r="AI60" s="112">
        <f t="shared" ca="1" si="106"/>
        <v>3</v>
      </c>
      <c r="AJ60" s="112">
        <f t="shared" ca="1" si="107"/>
        <v>3</v>
      </c>
      <c r="AK60" s="112">
        <f t="shared" ca="1" si="108"/>
        <v>90</v>
      </c>
      <c r="AL60" s="255"/>
      <c r="AM60" s="112">
        <f t="shared" si="109"/>
        <v>87</v>
      </c>
      <c r="AN60" s="112">
        <f t="shared" si="110"/>
        <v>0</v>
      </c>
      <c r="AO60" s="112">
        <f t="shared" si="111"/>
        <v>3</v>
      </c>
      <c r="AP60" s="112">
        <f t="shared" si="112"/>
        <v>3</v>
      </c>
      <c r="AQ60" s="112">
        <f t="shared" si="70"/>
        <v>90</v>
      </c>
      <c r="AR60" s="255"/>
      <c r="AS60" s="112">
        <f t="shared" ca="1" si="113"/>
        <v>0</v>
      </c>
      <c r="AT60" s="112">
        <f t="shared" ca="1" si="114"/>
        <v>0</v>
      </c>
      <c r="AU60" s="112">
        <f t="shared" ca="1" si="115"/>
        <v>0</v>
      </c>
      <c r="AV60" s="112">
        <f t="shared" ca="1" si="116"/>
        <v>0</v>
      </c>
      <c r="AW60" s="112">
        <f t="shared" ca="1" si="83"/>
        <v>0</v>
      </c>
      <c r="AX60" s="109">
        <f t="shared" ca="1" si="117"/>
        <v>0</v>
      </c>
      <c r="AY60" s="112">
        <f t="shared" si="118"/>
        <v>1.4059375677860819</v>
      </c>
      <c r="AZ60" s="112">
        <f t="shared" si="119"/>
        <v>0.8221624170114501</v>
      </c>
      <c r="BA60" s="112">
        <f t="shared" si="120"/>
        <v>0.75390584129749438</v>
      </c>
      <c r="BB60" s="112">
        <f t="shared" si="121"/>
        <v>0.58943057454041847</v>
      </c>
      <c r="BC60" s="112">
        <f t="shared" si="122"/>
        <v>0.20220890233055122</v>
      </c>
      <c r="BD60" s="112">
        <f t="shared" ca="1" si="123"/>
        <v>87</v>
      </c>
      <c r="BE60" s="112">
        <f t="shared" si="124"/>
        <v>3</v>
      </c>
      <c r="BF60" s="112">
        <f t="shared" ca="1" si="125"/>
        <v>3</v>
      </c>
      <c r="BG60" s="112">
        <f t="shared" ca="1" si="126"/>
        <v>3</v>
      </c>
      <c r="BH60" s="112">
        <f t="shared" ca="1" si="127"/>
        <v>0.4997007016740741</v>
      </c>
      <c r="BI60" s="112">
        <f t="shared" ca="1" si="128"/>
        <v>0</v>
      </c>
      <c r="BJ60" s="112">
        <f t="shared" ca="1" si="129"/>
        <v>0</v>
      </c>
      <c r="BK60" s="112">
        <f t="shared" ca="1" si="130"/>
        <v>3</v>
      </c>
      <c r="BL60" s="112">
        <f t="shared" ca="1" si="131"/>
        <v>3</v>
      </c>
      <c r="BM60" s="112">
        <f t="shared" ca="1" si="132"/>
        <v>3</v>
      </c>
      <c r="BN60" s="112">
        <f t="shared" ca="1" si="29"/>
        <v>90</v>
      </c>
      <c r="BO60" s="112">
        <f t="shared" ca="1" si="133"/>
        <v>90</v>
      </c>
      <c r="BP60" s="112">
        <f t="shared" ca="1" si="134"/>
        <v>90</v>
      </c>
      <c r="BQ60" s="112">
        <f t="shared" ca="1" si="135"/>
        <v>0.61765100829773967</v>
      </c>
      <c r="BR60" s="112">
        <f t="shared" ca="1" si="136"/>
        <v>0</v>
      </c>
      <c r="BS60" s="112">
        <f t="shared" ca="1" si="137"/>
        <v>0</v>
      </c>
      <c r="BT60" s="112">
        <f t="shared" ca="1" si="138"/>
        <v>0</v>
      </c>
      <c r="BU60" s="112">
        <f t="shared" ca="1" si="139"/>
        <v>0</v>
      </c>
      <c r="BV60" s="112">
        <f t="shared" ca="1" si="140"/>
        <v>1.550989831862998</v>
      </c>
      <c r="BW60" s="112">
        <f t="shared" ca="1" si="141"/>
        <v>1.135</v>
      </c>
      <c r="BX60" s="112">
        <f t="shared" ca="1" si="142"/>
        <v>1.0277942953733983</v>
      </c>
      <c r="BY60" s="112">
        <f t="shared" ca="1" si="143"/>
        <v>4.9562753469427804E-23</v>
      </c>
      <c r="BZ60" s="112">
        <f t="shared" ca="1" si="144"/>
        <v>1.1971933037036241E-3</v>
      </c>
      <c r="CA60" s="112">
        <f t="shared" ca="1" si="145"/>
        <v>-2.0712239913993777E-27</v>
      </c>
      <c r="CB60" s="112">
        <v>1</v>
      </c>
      <c r="CC60" s="112">
        <v>1</v>
      </c>
      <c r="CD60" s="112">
        <v>1</v>
      </c>
      <c r="CE60" s="112">
        <v>1</v>
      </c>
      <c r="CF60" s="109">
        <f t="shared" ca="1" si="146"/>
        <v>1.135</v>
      </c>
      <c r="CG60" s="112">
        <f t="shared" ca="1" si="147"/>
        <v>1.0449999999999999</v>
      </c>
      <c r="CH60" s="255"/>
      <c r="CI60" s="150" t="str">
        <f t="shared" ca="1" si="148"/>
        <v>C0M0Y0K0</v>
      </c>
      <c r="CJ60" s="125">
        <f t="shared" ca="1" si="46"/>
        <v>0</v>
      </c>
      <c r="CK60" s="125">
        <f t="shared" ca="1" si="47"/>
        <v>0</v>
      </c>
      <c r="CL60" s="125">
        <f t="shared" ca="1" si="48"/>
        <v>0</v>
      </c>
      <c r="CM60" s="124">
        <f t="shared" ca="1" si="149"/>
        <v>0</v>
      </c>
      <c r="CN60" s="112">
        <f t="shared" ca="1" si="150"/>
        <v>0</v>
      </c>
      <c r="CO60" s="112">
        <f t="shared" ca="1" si="151"/>
        <v>0</v>
      </c>
      <c r="CP60" s="112">
        <f t="shared" ca="1" si="152"/>
        <v>0</v>
      </c>
      <c r="CQ60" s="112" t="str">
        <f t="shared" ca="1" si="71"/>
        <v/>
      </c>
      <c r="CR60" s="112" t="str">
        <f t="shared" ca="1" si="72"/>
        <v/>
      </c>
      <c r="CS60" s="112" t="str">
        <f t="shared" ca="1" si="73"/>
        <v/>
      </c>
      <c r="CT60" s="112" t="str">
        <f t="shared" ca="1" si="74"/>
        <v/>
      </c>
      <c r="CU60" s="112" t="str">
        <f t="shared" ca="1" si="75"/>
        <v/>
      </c>
      <c r="CV60" s="112" t="str">
        <f t="shared" ca="1" si="76"/>
        <v/>
      </c>
      <c r="CW60" s="112" t="str">
        <f t="shared" ca="1" si="162"/>
        <v/>
      </c>
      <c r="CX60" s="112" t="str">
        <f t="shared" ca="1" si="77"/>
        <v/>
      </c>
      <c r="CY60" s="112" t="str">
        <f t="shared" ca="1" si="54"/>
        <v/>
      </c>
      <c r="CZ60" s="112" t="str">
        <f t="shared" ca="1" si="78"/>
        <v/>
      </c>
      <c r="DA60" s="112" t="str">
        <f t="shared" ca="1" si="55"/>
        <v/>
      </c>
      <c r="DB60" s="112" t="str">
        <f t="shared" ca="1" si="56"/>
        <v/>
      </c>
      <c r="DC60" s="112" t="str">
        <f t="shared" ca="1" si="57"/>
        <v/>
      </c>
      <c r="DD60" s="112" t="str">
        <f t="shared" ca="1" si="153"/>
        <v/>
      </c>
      <c r="DE60" s="112" t="str">
        <f t="shared" ca="1" si="161"/>
        <v/>
      </c>
      <c r="DF60" s="112" t="str">
        <f t="shared" ca="1" si="60"/>
        <v/>
      </c>
      <c r="DG60" s="125" t="str">
        <f t="shared" ca="1" si="154"/>
        <v>-</v>
      </c>
      <c r="DH60" s="125" t="str">
        <f t="shared" ca="1" si="155"/>
        <v>-</v>
      </c>
      <c r="DI60" s="125" t="str">
        <f t="shared" ca="1" si="156"/>
        <v>-</v>
      </c>
      <c r="DJ60" s="125" t="str">
        <f t="shared" ca="1" si="157"/>
        <v>-</v>
      </c>
      <c r="DK60" s="112">
        <f t="shared" ca="1" si="85"/>
        <v>0.67500164866845713</v>
      </c>
      <c r="DL60" s="112">
        <f t="shared" ca="1" si="86"/>
        <v>0.70006393763581953</v>
      </c>
      <c r="DM60" s="112">
        <f t="shared" ca="1" si="87"/>
        <v>0.54870776367045759</v>
      </c>
      <c r="DN60" s="112">
        <f t="shared" si="158"/>
        <v>0.67500164866845713</v>
      </c>
      <c r="DO60" s="112">
        <f t="shared" si="159"/>
        <v>0.70006393763581953</v>
      </c>
      <c r="DP60" s="112">
        <f t="shared" si="160"/>
        <v>0.54870776367045759</v>
      </c>
      <c r="DQ60" s="112">
        <f t="shared" ca="1" si="79"/>
        <v>87</v>
      </c>
      <c r="DR60" s="112">
        <f t="shared" ca="1" si="67"/>
        <v>0</v>
      </c>
      <c r="DS60" s="112">
        <f t="shared" ca="1" si="68"/>
        <v>3</v>
      </c>
      <c r="DT60" s="112">
        <f t="shared" si="80"/>
        <v>87</v>
      </c>
      <c r="DU60" s="112">
        <f t="shared" si="81"/>
        <v>0</v>
      </c>
      <c r="DV60" s="112">
        <f t="shared" si="82"/>
        <v>3</v>
      </c>
      <c r="DW60" s="260"/>
      <c r="DX60" s="168"/>
      <c r="DY60" s="168"/>
    </row>
    <row r="61" spans="1:129" s="151" customFormat="1" ht="14" customHeight="1">
      <c r="A61" s="158"/>
      <c r="B61" s="153" t="str">
        <f t="shared" ca="1" si="93"/>
        <v>-</v>
      </c>
      <c r="C61" s="154">
        <f t="shared" ca="1" si="94"/>
        <v>50</v>
      </c>
      <c r="D61" s="155">
        <f t="shared" ca="1" si="95"/>
        <v>50</v>
      </c>
      <c r="E61" s="156" t="str">
        <f t="shared" ca="1" si="96"/>
        <v>-</v>
      </c>
      <c r="F61" s="184"/>
      <c r="G61" s="195"/>
      <c r="H61" s="239">
        <v>64.81</v>
      </c>
      <c r="I61" s="240">
        <v>29.62</v>
      </c>
      <c r="J61" s="241">
        <v>24</v>
      </c>
      <c r="K61" s="181"/>
      <c r="L61" s="204">
        <f t="shared" ca="1" si="97"/>
        <v>64.81</v>
      </c>
      <c r="M61" s="95">
        <f t="shared" ca="1" si="98"/>
        <v>29.62</v>
      </c>
      <c r="N61" s="205">
        <f t="shared" ca="1" si="99"/>
        <v>24</v>
      </c>
      <c r="O61" s="21"/>
      <c r="P61" s="157">
        <f t="shared" ca="1" si="100"/>
        <v>0</v>
      </c>
      <c r="Q61" s="215"/>
      <c r="R61" s="289">
        <f t="shared" ca="1" si="101"/>
        <v>0</v>
      </c>
      <c r="S61" s="290"/>
      <c r="T61" s="148"/>
      <c r="U61" s="291">
        <f t="shared" ca="1" si="102"/>
        <v>0</v>
      </c>
      <c r="V61" s="292"/>
      <c r="W61" s="23"/>
      <c r="X61" s="291">
        <f t="shared" ca="1" si="103"/>
        <v>0</v>
      </c>
      <c r="Y61" s="292"/>
      <c r="Z61" s="215"/>
      <c r="AA61" s="215"/>
      <c r="AB61" s="215"/>
      <c r="AC61" s="94"/>
      <c r="AD61" s="94"/>
      <c r="AE61" s="149"/>
      <c r="AF61" s="149"/>
      <c r="AG61" s="112">
        <f t="shared" ca="1" si="104"/>
        <v>49.68</v>
      </c>
      <c r="AH61" s="112">
        <f t="shared" ca="1" si="105"/>
        <v>-8.26</v>
      </c>
      <c r="AI61" s="112">
        <f t="shared" ca="1" si="106"/>
        <v>-5.3</v>
      </c>
      <c r="AJ61" s="112">
        <f t="shared" ca="1" si="107"/>
        <v>9.8141530454746828</v>
      </c>
      <c r="AK61" s="112">
        <f t="shared" ca="1" si="108"/>
        <v>212.68611762041442</v>
      </c>
      <c r="AL61" s="255"/>
      <c r="AM61" s="112">
        <f t="shared" si="109"/>
        <v>49.68</v>
      </c>
      <c r="AN61" s="112">
        <f t="shared" si="110"/>
        <v>-8.26</v>
      </c>
      <c r="AO61" s="112">
        <f t="shared" si="111"/>
        <v>-5.3</v>
      </c>
      <c r="AP61" s="112">
        <f t="shared" si="112"/>
        <v>9.8141530454746828</v>
      </c>
      <c r="AQ61" s="112">
        <f t="shared" si="70"/>
        <v>212.68611762041442</v>
      </c>
      <c r="AR61" s="255"/>
      <c r="AS61" s="112">
        <f t="shared" ca="1" si="113"/>
        <v>0</v>
      </c>
      <c r="AT61" s="112">
        <f t="shared" ca="1" si="114"/>
        <v>0</v>
      </c>
      <c r="AU61" s="112">
        <f t="shared" ca="1" si="115"/>
        <v>0</v>
      </c>
      <c r="AV61" s="112">
        <f t="shared" ca="1" si="116"/>
        <v>0</v>
      </c>
      <c r="AW61" s="112">
        <f t="shared" ca="1" si="83"/>
        <v>0</v>
      </c>
      <c r="AX61" s="109">
        <f t="shared" ca="1" si="117"/>
        <v>0</v>
      </c>
      <c r="AY61" s="112">
        <f t="shared" si="118"/>
        <v>1.0846023021527538</v>
      </c>
      <c r="AZ61" s="112">
        <f t="shared" si="119"/>
        <v>1.192813182811626</v>
      </c>
      <c r="BA61" s="112">
        <f t="shared" si="120"/>
        <v>0.91799051683792343</v>
      </c>
      <c r="BB61" s="112">
        <f t="shared" si="121"/>
        <v>0.7471059295866378</v>
      </c>
      <c r="BC61" s="112">
        <f t="shared" si="122"/>
        <v>0.91104844548972919</v>
      </c>
      <c r="BD61" s="112">
        <f t="shared" ca="1" si="123"/>
        <v>49.68</v>
      </c>
      <c r="BE61" s="112">
        <f t="shared" si="124"/>
        <v>9.8141530454746828</v>
      </c>
      <c r="BF61" s="112">
        <f t="shared" ca="1" si="125"/>
        <v>9.8141530454746828</v>
      </c>
      <c r="BG61" s="112">
        <f t="shared" ca="1" si="126"/>
        <v>9.8141530454746828</v>
      </c>
      <c r="BH61" s="112">
        <f t="shared" ca="1" si="127"/>
        <v>0.48106117210990224</v>
      </c>
      <c r="BI61" s="112">
        <f t="shared" ca="1" si="128"/>
        <v>-12.233565281627792</v>
      </c>
      <c r="BJ61" s="112">
        <f t="shared" ca="1" si="129"/>
        <v>-12.233565281627792</v>
      </c>
      <c r="BK61" s="112">
        <f t="shared" ca="1" si="130"/>
        <v>13.332296107567101</v>
      </c>
      <c r="BL61" s="112">
        <f t="shared" ca="1" si="131"/>
        <v>13.332296107567101</v>
      </c>
      <c r="BM61" s="112">
        <f t="shared" ca="1" si="132"/>
        <v>13.332296107567101</v>
      </c>
      <c r="BN61" s="112">
        <f t="shared" ca="1" si="29"/>
        <v>203.42391512664994</v>
      </c>
      <c r="BO61" s="112">
        <f t="shared" ca="1" si="133"/>
        <v>203.42391512664994</v>
      </c>
      <c r="BP61" s="112">
        <f t="shared" ca="1" si="134"/>
        <v>203.42391512664994</v>
      </c>
      <c r="BQ61" s="112">
        <f t="shared" ca="1" si="135"/>
        <v>1.085107010973922</v>
      </c>
      <c r="BR61" s="112">
        <f t="shared" ca="1" si="136"/>
        <v>0</v>
      </c>
      <c r="BS61" s="112">
        <f t="shared" ca="1" si="137"/>
        <v>0</v>
      </c>
      <c r="BT61" s="112">
        <f t="shared" ca="1" si="138"/>
        <v>0</v>
      </c>
      <c r="BU61" s="112">
        <f t="shared" ca="1" si="139"/>
        <v>0</v>
      </c>
      <c r="BV61" s="112">
        <f t="shared" ca="1" si="140"/>
        <v>1.0003425841456461</v>
      </c>
      <c r="BW61" s="112">
        <f t="shared" ca="1" si="141"/>
        <v>1.5999533248405196</v>
      </c>
      <c r="BX61" s="112">
        <f t="shared" ca="1" si="142"/>
        <v>1.2170045196805208</v>
      </c>
      <c r="BY61" s="112">
        <f t="shared" ca="1" si="143"/>
        <v>8.2642185654578197E-3</v>
      </c>
      <c r="BZ61" s="112">
        <f t="shared" ca="1" si="144"/>
        <v>0.22017076674988756</v>
      </c>
      <c r="CA61" s="112">
        <f t="shared" ca="1" si="145"/>
        <v>-6.3513903759476205E-5</v>
      </c>
      <c r="CB61" s="112">
        <v>1</v>
      </c>
      <c r="CC61" s="112">
        <v>1</v>
      </c>
      <c r="CD61" s="112">
        <v>1</v>
      </c>
      <c r="CE61" s="112">
        <v>1</v>
      </c>
      <c r="CF61" s="109">
        <f t="shared" ca="1" si="146"/>
        <v>1.4416368870463607</v>
      </c>
      <c r="CG61" s="112">
        <f t="shared" ca="1" si="147"/>
        <v>1.1472122956821202</v>
      </c>
      <c r="CH61" s="255"/>
      <c r="CI61" s="150" t="str">
        <f t="shared" ca="1" si="148"/>
        <v>C70M40Y40K0</v>
      </c>
      <c r="CJ61" s="125">
        <f t="shared" ca="1" si="46"/>
        <v>0</v>
      </c>
      <c r="CK61" s="125">
        <f t="shared" ca="1" si="47"/>
        <v>0</v>
      </c>
      <c r="CL61" s="125">
        <f t="shared" ca="1" si="48"/>
        <v>0</v>
      </c>
      <c r="CM61" s="124">
        <f t="shared" ca="1" si="149"/>
        <v>0</v>
      </c>
      <c r="CN61" s="112">
        <f t="shared" ca="1" si="150"/>
        <v>0</v>
      </c>
      <c r="CO61" s="112">
        <f t="shared" ca="1" si="151"/>
        <v>0</v>
      </c>
      <c r="CP61" s="112">
        <f t="shared" ca="1" si="152"/>
        <v>0</v>
      </c>
      <c r="CQ61" s="112" t="str">
        <f t="shared" ca="1" si="71"/>
        <v/>
      </c>
      <c r="CR61" s="112" t="str">
        <f t="shared" ca="1" si="72"/>
        <v/>
      </c>
      <c r="CS61" s="112" t="str">
        <f t="shared" ca="1" si="73"/>
        <v/>
      </c>
      <c r="CT61" s="112" t="str">
        <f t="shared" ca="1" si="74"/>
        <v/>
      </c>
      <c r="CU61" s="112" t="str">
        <f t="shared" ca="1" si="75"/>
        <v/>
      </c>
      <c r="CV61" s="112" t="str">
        <f t="shared" ca="1" si="76"/>
        <v/>
      </c>
      <c r="CW61" s="112" t="str">
        <f t="shared" ca="1" si="162"/>
        <v/>
      </c>
      <c r="CX61" s="112" t="str">
        <f t="shared" ca="1" si="77"/>
        <v/>
      </c>
      <c r="CY61" s="112" t="str">
        <f t="shared" ca="1" si="54"/>
        <v/>
      </c>
      <c r="CZ61" s="112" t="str">
        <f t="shared" ca="1" si="78"/>
        <v/>
      </c>
      <c r="DA61" s="112" t="str">
        <f t="shared" ca="1" si="55"/>
        <v/>
      </c>
      <c r="DB61" s="112" t="str">
        <f t="shared" ca="1" si="56"/>
        <v/>
      </c>
      <c r="DC61" s="112" t="str">
        <f t="shared" ca="1" si="57"/>
        <v/>
      </c>
      <c r="DD61" s="112" t="str">
        <f t="shared" ca="1" si="153"/>
        <v/>
      </c>
      <c r="DE61" s="112" t="str">
        <f t="shared" ca="1" si="161"/>
        <v/>
      </c>
      <c r="DF61" s="112" t="str">
        <f t="shared" ca="1" si="60"/>
        <v/>
      </c>
      <c r="DG61" s="125">
        <f t="shared" ca="1" si="154"/>
        <v>70</v>
      </c>
      <c r="DH61" s="125">
        <f t="shared" ca="1" si="155"/>
        <v>40</v>
      </c>
      <c r="DI61" s="125">
        <f t="shared" ca="1" si="156"/>
        <v>40</v>
      </c>
      <c r="DJ61" s="125" t="str">
        <f t="shared" ca="1" si="157"/>
        <v>-</v>
      </c>
      <c r="DK61" s="112">
        <f t="shared" ca="1" si="85"/>
        <v>0.16014496181733781</v>
      </c>
      <c r="DL61" s="112">
        <f t="shared" ca="1" si="86"/>
        <v>0.18152041034892782</v>
      </c>
      <c r="DM61" s="112">
        <f t="shared" ca="1" si="87"/>
        <v>0.17175968911367911</v>
      </c>
      <c r="DN61" s="112">
        <f t="shared" si="158"/>
        <v>0.16014496181733781</v>
      </c>
      <c r="DO61" s="112">
        <f t="shared" si="159"/>
        <v>0.18152041034892782</v>
      </c>
      <c r="DP61" s="112">
        <f t="shared" si="160"/>
        <v>0.17175968911367911</v>
      </c>
      <c r="DQ61" s="112">
        <f t="shared" ca="1" si="79"/>
        <v>49.68</v>
      </c>
      <c r="DR61" s="112">
        <f t="shared" ca="1" si="67"/>
        <v>-8.26</v>
      </c>
      <c r="DS61" s="112">
        <f t="shared" ca="1" si="68"/>
        <v>-5.3</v>
      </c>
      <c r="DT61" s="112">
        <f t="shared" si="80"/>
        <v>49.68</v>
      </c>
      <c r="DU61" s="112">
        <f t="shared" si="81"/>
        <v>-8.26</v>
      </c>
      <c r="DV61" s="112">
        <f t="shared" si="82"/>
        <v>-5.3</v>
      </c>
      <c r="DW61" s="260"/>
      <c r="DX61" s="168"/>
      <c r="DY61" s="168"/>
    </row>
    <row r="62" spans="1:129" s="151" customFormat="1" ht="14" customHeight="1">
      <c r="A62" s="158"/>
      <c r="B62" s="153">
        <f t="shared" ca="1" si="93"/>
        <v>100</v>
      </c>
      <c r="C62" s="154" t="str">
        <f t="shared" ca="1" si="94"/>
        <v>-</v>
      </c>
      <c r="D62" s="155">
        <f t="shared" ca="1" si="95"/>
        <v>70</v>
      </c>
      <c r="E62" s="156">
        <f t="shared" ca="1" si="96"/>
        <v>40</v>
      </c>
      <c r="F62" s="184"/>
      <c r="G62" s="195"/>
      <c r="H62" s="239">
        <v>41.44</v>
      </c>
      <c r="I62" s="240">
        <v>-25.89</v>
      </c>
      <c r="J62" s="241">
        <v>4.0599999999999996</v>
      </c>
      <c r="K62" s="181"/>
      <c r="L62" s="204">
        <f t="shared" ca="1" si="97"/>
        <v>41.44</v>
      </c>
      <c r="M62" s="95">
        <f t="shared" ca="1" si="98"/>
        <v>-25.89</v>
      </c>
      <c r="N62" s="205">
        <f t="shared" ca="1" si="99"/>
        <v>4.0599999999999996</v>
      </c>
      <c r="O62" s="21"/>
      <c r="P62" s="157">
        <f t="shared" ca="1" si="100"/>
        <v>0</v>
      </c>
      <c r="Q62" s="215"/>
      <c r="R62" s="289">
        <f t="shared" ca="1" si="101"/>
        <v>0</v>
      </c>
      <c r="S62" s="290"/>
      <c r="T62" s="148"/>
      <c r="U62" s="291">
        <f t="shared" ca="1" si="102"/>
        <v>0</v>
      </c>
      <c r="V62" s="292"/>
      <c r="W62" s="23"/>
      <c r="X62" s="291">
        <f t="shared" ca="1" si="103"/>
        <v>0</v>
      </c>
      <c r="Y62" s="292"/>
      <c r="Z62" s="215"/>
      <c r="AA62" s="215"/>
      <c r="AB62" s="215"/>
      <c r="AC62" s="94"/>
      <c r="AD62" s="94"/>
      <c r="AE62" s="149"/>
      <c r="AF62" s="149"/>
      <c r="AG62" s="112">
        <f t="shared" ca="1" si="104"/>
        <v>84.88</v>
      </c>
      <c r="AH62" s="112">
        <f t="shared" ca="1" si="105"/>
        <v>-0.02</v>
      </c>
      <c r="AI62" s="112">
        <f t="shared" ca="1" si="106"/>
        <v>2.88</v>
      </c>
      <c r="AJ62" s="112">
        <f t="shared" ca="1" si="107"/>
        <v>2.8800694436072196</v>
      </c>
      <c r="AK62" s="112">
        <f t="shared" ca="1" si="108"/>
        <v>90.397880961834588</v>
      </c>
      <c r="AL62" s="255"/>
      <c r="AM62" s="112">
        <f t="shared" si="109"/>
        <v>84.88</v>
      </c>
      <c r="AN62" s="112">
        <f t="shared" si="110"/>
        <v>-0.02</v>
      </c>
      <c r="AO62" s="112">
        <f t="shared" si="111"/>
        <v>2.88</v>
      </c>
      <c r="AP62" s="112">
        <f t="shared" si="112"/>
        <v>2.8800694436072196</v>
      </c>
      <c r="AQ62" s="112">
        <f t="shared" si="70"/>
        <v>90.397880961834588</v>
      </c>
      <c r="AR62" s="255"/>
      <c r="AS62" s="112">
        <f t="shared" ca="1" si="113"/>
        <v>0</v>
      </c>
      <c r="AT62" s="112">
        <f t="shared" ca="1" si="114"/>
        <v>0</v>
      </c>
      <c r="AU62" s="112">
        <f t="shared" ca="1" si="115"/>
        <v>0</v>
      </c>
      <c r="AV62" s="112">
        <f t="shared" ca="1" si="116"/>
        <v>0</v>
      </c>
      <c r="AW62" s="112">
        <f t="shared" ca="1" si="83"/>
        <v>0</v>
      </c>
      <c r="AX62" s="109">
        <f t="shared" ca="1" si="117"/>
        <v>0</v>
      </c>
      <c r="AY62" s="112">
        <f t="shared" si="118"/>
        <v>1.3922234693763178</v>
      </c>
      <c r="AZ62" s="112">
        <f t="shared" si="119"/>
        <v>0.81506785344668498</v>
      </c>
      <c r="BA62" s="112">
        <f t="shared" si="120"/>
        <v>0.75285538717273015</v>
      </c>
      <c r="BB62" s="112">
        <f t="shared" si="121"/>
        <v>0.59170041004112828</v>
      </c>
      <c r="BC62" s="112">
        <f t="shared" si="122"/>
        <v>0.1869410638197079</v>
      </c>
      <c r="BD62" s="112">
        <f t="shared" ca="1" si="123"/>
        <v>84.88</v>
      </c>
      <c r="BE62" s="112">
        <f t="shared" si="124"/>
        <v>2.8800694436072196</v>
      </c>
      <c r="BF62" s="112">
        <f t="shared" ca="1" si="125"/>
        <v>2.8800694436072196</v>
      </c>
      <c r="BG62" s="112">
        <f t="shared" ca="1" si="126"/>
        <v>2.8800694436072196</v>
      </c>
      <c r="BH62" s="112">
        <f t="shared" ca="1" si="127"/>
        <v>0.49974052813479308</v>
      </c>
      <c r="BI62" s="112">
        <f t="shared" ca="1" si="128"/>
        <v>-2.9994810562695862E-2</v>
      </c>
      <c r="BJ62" s="112">
        <f t="shared" ca="1" si="129"/>
        <v>-2.9994810562695862E-2</v>
      </c>
      <c r="BK62" s="112">
        <f t="shared" ca="1" si="130"/>
        <v>2.8801561917126457</v>
      </c>
      <c r="BL62" s="112">
        <f t="shared" ca="1" si="131"/>
        <v>2.8801561917126457</v>
      </c>
      <c r="BM62" s="112">
        <f t="shared" ca="1" si="132"/>
        <v>2.8801561917126457</v>
      </c>
      <c r="BN62" s="112">
        <f t="shared" ca="1" si="29"/>
        <v>90.596706221853495</v>
      </c>
      <c r="BO62" s="112">
        <f t="shared" ca="1" si="133"/>
        <v>90.596706221853495</v>
      </c>
      <c r="BP62" s="112">
        <f t="shared" ca="1" si="134"/>
        <v>90.596706221853495</v>
      </c>
      <c r="BQ62" s="112">
        <f t="shared" ca="1" si="135"/>
        <v>0.62182353165699733</v>
      </c>
      <c r="BR62" s="112">
        <f t="shared" ca="1" si="136"/>
        <v>0</v>
      </c>
      <c r="BS62" s="112">
        <f t="shared" ca="1" si="137"/>
        <v>0</v>
      </c>
      <c r="BT62" s="112">
        <f t="shared" ca="1" si="138"/>
        <v>0</v>
      </c>
      <c r="BU62" s="112">
        <f t="shared" ca="1" si="139"/>
        <v>0</v>
      </c>
      <c r="BV62" s="112">
        <f t="shared" ca="1" si="140"/>
        <v>1.5189518468569903</v>
      </c>
      <c r="BW62" s="112">
        <f t="shared" ca="1" si="141"/>
        <v>1.129607028627069</v>
      </c>
      <c r="BX62" s="112">
        <f t="shared" ca="1" si="142"/>
        <v>1.026864233422818</v>
      </c>
      <c r="BY62" s="112">
        <f t="shared" ca="1" si="143"/>
        <v>7.0521667537223436E-23</v>
      </c>
      <c r="BZ62" s="112">
        <f t="shared" ca="1" si="144"/>
        <v>1.0379968795357984E-3</v>
      </c>
      <c r="CA62" s="112">
        <f t="shared" ca="1" si="145"/>
        <v>-2.5552063857193852E-27</v>
      </c>
      <c r="CB62" s="112">
        <v>1</v>
      </c>
      <c r="CC62" s="112">
        <v>1</v>
      </c>
      <c r="CD62" s="112">
        <v>1</v>
      </c>
      <c r="CE62" s="112">
        <v>1</v>
      </c>
      <c r="CF62" s="109">
        <f t="shared" ca="1" si="146"/>
        <v>1.1296031249623248</v>
      </c>
      <c r="CG62" s="112">
        <f t="shared" ca="1" si="147"/>
        <v>1.0432010416541082</v>
      </c>
      <c r="CH62" s="255"/>
      <c r="CI62" s="150" t="str">
        <f t="shared" ca="1" si="148"/>
        <v>C0M0Y0K3</v>
      </c>
      <c r="CJ62" s="125">
        <f t="shared" ca="1" si="46"/>
        <v>0</v>
      </c>
      <c r="CK62" s="125">
        <f t="shared" ca="1" si="47"/>
        <v>0</v>
      </c>
      <c r="CL62" s="125">
        <f t="shared" ca="1" si="48"/>
        <v>0</v>
      </c>
      <c r="CM62" s="124">
        <f t="shared" ca="1" si="149"/>
        <v>0</v>
      </c>
      <c r="CN62" s="112">
        <f t="shared" ca="1" si="150"/>
        <v>0</v>
      </c>
      <c r="CO62" s="112">
        <f t="shared" ca="1" si="151"/>
        <v>0</v>
      </c>
      <c r="CP62" s="112">
        <f t="shared" ca="1" si="152"/>
        <v>0</v>
      </c>
      <c r="CQ62" s="112" t="str">
        <f t="shared" ca="1" si="71"/>
        <v/>
      </c>
      <c r="CR62" s="112" t="str">
        <f t="shared" ca="1" si="72"/>
        <v/>
      </c>
      <c r="CS62" s="112" t="str">
        <f t="shared" ca="1" si="73"/>
        <v/>
      </c>
      <c r="CT62" s="112" t="str">
        <f t="shared" ca="1" si="74"/>
        <v/>
      </c>
      <c r="CU62" s="112" t="str">
        <f t="shared" ca="1" si="75"/>
        <v/>
      </c>
      <c r="CV62" s="112" t="str">
        <f t="shared" ca="1" si="76"/>
        <v/>
      </c>
      <c r="CW62" s="112" t="str">
        <f t="shared" ca="1" si="162"/>
        <v/>
      </c>
      <c r="CX62" s="112" t="str">
        <f t="shared" ca="1" si="77"/>
        <v/>
      </c>
      <c r="CY62" s="112" t="str">
        <f t="shared" ca="1" si="54"/>
        <v/>
      </c>
      <c r="CZ62" s="112" t="str">
        <f t="shared" ca="1" si="78"/>
        <v/>
      </c>
      <c r="DA62" s="112" t="str">
        <f t="shared" ca="1" si="55"/>
        <v/>
      </c>
      <c r="DB62" s="112" t="str">
        <f t="shared" ca="1" si="56"/>
        <v>C0M0Y0K3</v>
      </c>
      <c r="DC62" s="112">
        <f ca="1">IF(DB62="","",ABS(CJ62))</f>
        <v>0</v>
      </c>
      <c r="DD62" s="112">
        <f t="shared" ca="1" si="153"/>
        <v>0</v>
      </c>
      <c r="DE62" s="112">
        <f ca="1">IFERROR(IF(DB62="","",(ABS(DC62)*(1-MAX(0,(DG62-50)/50*0.75)))),ABS(DC62)*(1-MAX(0,(DJ62-50)/50*0.75)))</f>
        <v>0</v>
      </c>
      <c r="DF62" s="112">
        <f t="shared" ca="1" si="60"/>
        <v>0</v>
      </c>
      <c r="DG62" s="125" t="str">
        <f t="shared" ca="1" si="154"/>
        <v>-</v>
      </c>
      <c r="DH62" s="125" t="str">
        <f t="shared" ca="1" si="155"/>
        <v>-</v>
      </c>
      <c r="DI62" s="125" t="str">
        <f t="shared" ca="1" si="156"/>
        <v>-</v>
      </c>
      <c r="DJ62" s="125">
        <f t="shared" ca="1" si="157"/>
        <v>3</v>
      </c>
      <c r="DK62" s="112">
        <f t="shared" ca="1" si="85"/>
        <v>0.63408642027083195</v>
      </c>
      <c r="DL62" s="112">
        <f t="shared" ca="1" si="86"/>
        <v>0.65772031030382549</v>
      </c>
      <c r="DM62" s="112">
        <f t="shared" ca="1" si="87"/>
        <v>0.51604601865958211</v>
      </c>
      <c r="DN62" s="112">
        <f t="shared" si="158"/>
        <v>0.63408642027083195</v>
      </c>
      <c r="DO62" s="112">
        <f t="shared" si="159"/>
        <v>0.65772031030382549</v>
      </c>
      <c r="DP62" s="112">
        <f t="shared" si="160"/>
        <v>0.51604601865958211</v>
      </c>
      <c r="DQ62" s="112">
        <f t="shared" ca="1" si="79"/>
        <v>84.88</v>
      </c>
      <c r="DR62" s="112">
        <f t="shared" ca="1" si="67"/>
        <v>-0.02</v>
      </c>
      <c r="DS62" s="112">
        <f t="shared" ca="1" si="68"/>
        <v>2.88</v>
      </c>
      <c r="DT62" s="112">
        <f t="shared" si="80"/>
        <v>84.88</v>
      </c>
      <c r="DU62" s="112">
        <f t="shared" si="81"/>
        <v>-0.02</v>
      </c>
      <c r="DV62" s="112">
        <f t="shared" si="82"/>
        <v>2.88</v>
      </c>
      <c r="DW62" s="260"/>
      <c r="DX62" s="168"/>
      <c r="DY62" s="168"/>
    </row>
    <row r="63" spans="1:129" s="151" customFormat="1" ht="14" customHeight="1">
      <c r="A63" s="158"/>
      <c r="B63" s="153" t="str">
        <f t="shared" ca="1" si="93"/>
        <v>-</v>
      </c>
      <c r="C63" s="154">
        <f t="shared" ca="1" si="94"/>
        <v>10</v>
      </c>
      <c r="D63" s="155" t="str">
        <f t="shared" ca="1" si="95"/>
        <v>-</v>
      </c>
      <c r="E63" s="156" t="str">
        <f t="shared" ca="1" si="96"/>
        <v>-</v>
      </c>
      <c r="F63" s="184"/>
      <c r="G63" s="195"/>
      <c r="H63" s="239">
        <v>82.23</v>
      </c>
      <c r="I63" s="240">
        <v>6.97</v>
      </c>
      <c r="J63" s="241">
        <v>1.35</v>
      </c>
      <c r="K63" s="181"/>
      <c r="L63" s="204">
        <f t="shared" ca="1" si="97"/>
        <v>82.23</v>
      </c>
      <c r="M63" s="95">
        <f t="shared" ca="1" si="98"/>
        <v>6.97</v>
      </c>
      <c r="N63" s="205">
        <f t="shared" ca="1" si="99"/>
        <v>1.35</v>
      </c>
      <c r="O63" s="21"/>
      <c r="P63" s="157">
        <f t="shared" ca="1" si="100"/>
        <v>0</v>
      </c>
      <c r="Q63" s="215"/>
      <c r="R63" s="289">
        <f t="shared" ca="1" si="101"/>
        <v>0</v>
      </c>
      <c r="S63" s="290"/>
      <c r="T63" s="148"/>
      <c r="U63" s="291">
        <f t="shared" ca="1" si="102"/>
        <v>0</v>
      </c>
      <c r="V63" s="292"/>
      <c r="W63" s="23"/>
      <c r="X63" s="291">
        <f t="shared" ca="1" si="103"/>
        <v>0</v>
      </c>
      <c r="Y63" s="292"/>
      <c r="Z63" s="215"/>
      <c r="AA63" s="215"/>
      <c r="AB63" s="215"/>
      <c r="AC63" s="94"/>
      <c r="AD63" s="94"/>
      <c r="AE63" s="149"/>
      <c r="AF63" s="149"/>
      <c r="AG63" s="112">
        <f t="shared" ca="1" si="104"/>
        <v>84.68</v>
      </c>
      <c r="AH63" s="112">
        <f t="shared" ca="1" si="105"/>
        <v>0.19</v>
      </c>
      <c r="AI63" s="112">
        <f t="shared" ca="1" si="106"/>
        <v>2.89</v>
      </c>
      <c r="AJ63" s="112">
        <f t="shared" ca="1" si="107"/>
        <v>2.8962389404191082</v>
      </c>
      <c r="AK63" s="112">
        <f t="shared" ca="1" si="108"/>
        <v>86.238562522984665</v>
      </c>
      <c r="AL63" s="255"/>
      <c r="AM63" s="112">
        <f t="shared" si="109"/>
        <v>84.68</v>
      </c>
      <c r="AN63" s="112">
        <f t="shared" si="110"/>
        <v>0.19</v>
      </c>
      <c r="AO63" s="112">
        <f t="shared" si="111"/>
        <v>2.89</v>
      </c>
      <c r="AP63" s="112">
        <f t="shared" si="112"/>
        <v>2.8962389404191082</v>
      </c>
      <c r="AQ63" s="112">
        <f t="shared" si="70"/>
        <v>86.238562522984665</v>
      </c>
      <c r="AR63" s="255"/>
      <c r="AS63" s="112">
        <f t="shared" ca="1" si="113"/>
        <v>0</v>
      </c>
      <c r="AT63" s="112">
        <f t="shared" ca="1" si="114"/>
        <v>0</v>
      </c>
      <c r="AU63" s="112">
        <f t="shared" ca="1" si="115"/>
        <v>0</v>
      </c>
      <c r="AV63" s="112">
        <f t="shared" ca="1" si="116"/>
        <v>0</v>
      </c>
      <c r="AW63" s="112">
        <f t="shared" ca="1" si="83"/>
        <v>0</v>
      </c>
      <c r="AX63" s="109">
        <f t="shared" ca="1" si="117"/>
        <v>0</v>
      </c>
      <c r="AY63" s="112">
        <f t="shared" si="118"/>
        <v>1.3909084495242126</v>
      </c>
      <c r="AZ63" s="112">
        <f t="shared" si="119"/>
        <v>0.81602562230838249</v>
      </c>
      <c r="BA63" s="112">
        <f t="shared" si="120"/>
        <v>0.74932269579560384</v>
      </c>
      <c r="BB63" s="112">
        <f t="shared" si="121"/>
        <v>0.56744103556901482</v>
      </c>
      <c r="BC63" s="112">
        <f t="shared" si="122"/>
        <v>0.18897126761360369</v>
      </c>
      <c r="BD63" s="112">
        <f t="shared" ca="1" si="123"/>
        <v>84.68</v>
      </c>
      <c r="BE63" s="112">
        <f t="shared" si="124"/>
        <v>2.8962389404191082</v>
      </c>
      <c r="BF63" s="112">
        <f t="shared" ca="1" si="125"/>
        <v>2.8962389404191082</v>
      </c>
      <c r="BG63" s="112">
        <f t="shared" ca="1" si="126"/>
        <v>2.8962389404191082</v>
      </c>
      <c r="BH63" s="112">
        <f t="shared" ca="1" si="127"/>
        <v>0.49973539364363651</v>
      </c>
      <c r="BI63" s="112">
        <f t="shared" ca="1" si="128"/>
        <v>0.28494972479229097</v>
      </c>
      <c r="BJ63" s="112">
        <f t="shared" ca="1" si="129"/>
        <v>0.28494972479229097</v>
      </c>
      <c r="BK63" s="112">
        <f t="shared" ca="1" si="130"/>
        <v>2.9040138335860597</v>
      </c>
      <c r="BL63" s="112">
        <f t="shared" ca="1" si="131"/>
        <v>2.9040138335860597</v>
      </c>
      <c r="BM63" s="112">
        <f t="shared" ca="1" si="132"/>
        <v>2.9040138335860597</v>
      </c>
      <c r="BN63" s="112">
        <f t="shared" ca="1" si="29"/>
        <v>84.368921656417626</v>
      </c>
      <c r="BO63" s="112">
        <f t="shared" ca="1" si="133"/>
        <v>84.368921656417626</v>
      </c>
      <c r="BP63" s="112">
        <f t="shared" ca="1" si="134"/>
        <v>84.368921656417626</v>
      </c>
      <c r="BQ63" s="112">
        <f t="shared" ca="1" si="135"/>
        <v>0.5895049549683552</v>
      </c>
      <c r="BR63" s="112">
        <f t="shared" ca="1" si="136"/>
        <v>0</v>
      </c>
      <c r="BS63" s="112">
        <f t="shared" ca="1" si="137"/>
        <v>0</v>
      </c>
      <c r="BT63" s="112">
        <f t="shared" ca="1" si="138"/>
        <v>0</v>
      </c>
      <c r="BU63" s="112">
        <f t="shared" ca="1" si="139"/>
        <v>0</v>
      </c>
      <c r="BV63" s="112">
        <f t="shared" ca="1" si="140"/>
        <v>1.515927947920326</v>
      </c>
      <c r="BW63" s="112">
        <f t="shared" ca="1" si="141"/>
        <v>1.1306806225113726</v>
      </c>
      <c r="BX63" s="112">
        <f t="shared" ca="1" si="142"/>
        <v>1.0256789581629344</v>
      </c>
      <c r="BY63" s="112">
        <f t="shared" ca="1" si="143"/>
        <v>1.6801898026810338E-24</v>
      </c>
      <c r="BZ63" s="112">
        <f t="shared" ca="1" si="144"/>
        <v>1.0684034611981249E-3</v>
      </c>
      <c r="CA63" s="112">
        <f t="shared" ca="1" si="145"/>
        <v>-6.266152990358852E-29</v>
      </c>
      <c r="CB63" s="112">
        <v>1</v>
      </c>
      <c r="CC63" s="112">
        <v>1</v>
      </c>
      <c r="CD63" s="112">
        <v>1</v>
      </c>
      <c r="CE63" s="112">
        <v>1</v>
      </c>
      <c r="CF63" s="109">
        <f t="shared" ca="1" si="146"/>
        <v>1.1303307523188599</v>
      </c>
      <c r="CG63" s="112">
        <f t="shared" ca="1" si="147"/>
        <v>1.0434435841062866</v>
      </c>
      <c r="CH63" s="255"/>
      <c r="CI63" s="150" t="str">
        <f t="shared" ca="1" si="148"/>
        <v>C3M2Y2K0</v>
      </c>
      <c r="CJ63" s="125">
        <f t="shared" ca="1" si="46"/>
        <v>0</v>
      </c>
      <c r="CK63" s="125">
        <f t="shared" ca="1" si="47"/>
        <v>0</v>
      </c>
      <c r="CL63" s="125">
        <f t="shared" ca="1" si="48"/>
        <v>0</v>
      </c>
      <c r="CM63" s="124">
        <f t="shared" ca="1" si="149"/>
        <v>0</v>
      </c>
      <c r="CN63" s="112">
        <f t="shared" ca="1" si="150"/>
        <v>0</v>
      </c>
      <c r="CO63" s="112">
        <f t="shared" ca="1" si="151"/>
        <v>0</v>
      </c>
      <c r="CP63" s="112">
        <f t="shared" ca="1" si="152"/>
        <v>0</v>
      </c>
      <c r="CQ63" s="112" t="str">
        <f t="shared" ca="1" si="71"/>
        <v/>
      </c>
      <c r="CR63" s="112" t="str">
        <f t="shared" ca="1" si="72"/>
        <v/>
      </c>
      <c r="CS63" s="112" t="str">
        <f t="shared" ca="1" si="73"/>
        <v/>
      </c>
      <c r="CT63" s="112" t="str">
        <f t="shared" ca="1" si="74"/>
        <v/>
      </c>
      <c r="CU63" s="112" t="str">
        <f t="shared" ca="1" si="75"/>
        <v/>
      </c>
      <c r="CV63" s="112" t="str">
        <f t="shared" ca="1" si="76"/>
        <v/>
      </c>
      <c r="CW63" s="112" t="str">
        <f t="shared" ca="1" si="162"/>
        <v>C3M2Y2K0</v>
      </c>
      <c r="CX63" s="112">
        <f t="shared" ca="1" si="77"/>
        <v>0</v>
      </c>
      <c r="CY63" s="112">
        <f ca="1">IFERROR(IF(CW63="","",((($AN63-$AH63)^2+($AO63-$AI63)^2)^0.5)*(1-MAX(0,($DG63-50)/50*0.75))),((($AN63-$AH63)^2+($AO63-$AI63)^2)^0.5)*(1-MAX(0,($DJ63-50)/50*0.75)))</f>
        <v>0</v>
      </c>
      <c r="CZ63" s="112">
        <f t="shared" ca="1" si="78"/>
        <v>0</v>
      </c>
      <c r="DA63" s="112">
        <f t="shared" ca="1" si="55"/>
        <v>0</v>
      </c>
      <c r="DB63" s="112" t="str">
        <f t="shared" ca="1" si="56"/>
        <v>C3M2Y2K0</v>
      </c>
      <c r="DC63" s="112">
        <f t="shared" ref="DC63:DC97" ca="1" si="163">IF(DB63="","",ABS(CJ63))</f>
        <v>0</v>
      </c>
      <c r="DD63" s="112">
        <f t="shared" ca="1" si="153"/>
        <v>0</v>
      </c>
      <c r="DE63" s="112">
        <f t="shared" ref="DE63:DE97" ca="1" si="164">IFERROR(IF(DB63="","",(ABS(DC63)*(1-MAX(0,(DG63-50)/50*0.75)))),ABS(DC63)*(1-MAX(0,(DJ63-50)/50*0.75)))</f>
        <v>0</v>
      </c>
      <c r="DF63" s="112">
        <f t="shared" ca="1" si="60"/>
        <v>0</v>
      </c>
      <c r="DG63" s="125">
        <f t="shared" ca="1" si="154"/>
        <v>3</v>
      </c>
      <c r="DH63" s="125">
        <f t="shared" ca="1" si="155"/>
        <v>2.238</v>
      </c>
      <c r="DI63" s="125">
        <f t="shared" ca="1" si="156"/>
        <v>2.238</v>
      </c>
      <c r="DJ63" s="125" t="str">
        <f t="shared" ca="1" si="157"/>
        <v>-</v>
      </c>
      <c r="DK63" s="112">
        <f t="shared" ca="1" si="85"/>
        <v>0.63123793050786425</v>
      </c>
      <c r="DL63" s="112">
        <f t="shared" ca="1" si="86"/>
        <v>0.65381616355734151</v>
      </c>
      <c r="DM63" s="112">
        <f t="shared" ca="1" si="87"/>
        <v>0.51284122444393321</v>
      </c>
      <c r="DN63" s="112">
        <f t="shared" si="158"/>
        <v>0.63123793050786425</v>
      </c>
      <c r="DO63" s="112">
        <f t="shared" si="159"/>
        <v>0.65381616355734151</v>
      </c>
      <c r="DP63" s="112">
        <f t="shared" si="160"/>
        <v>0.51284122444393321</v>
      </c>
      <c r="DQ63" s="112">
        <f t="shared" ca="1" si="79"/>
        <v>84.68</v>
      </c>
      <c r="DR63" s="112">
        <f t="shared" ca="1" si="67"/>
        <v>0.19</v>
      </c>
      <c r="DS63" s="112">
        <f t="shared" ca="1" si="68"/>
        <v>2.89</v>
      </c>
      <c r="DT63" s="112">
        <f t="shared" si="80"/>
        <v>84.68</v>
      </c>
      <c r="DU63" s="112">
        <f t="shared" si="81"/>
        <v>0.19</v>
      </c>
      <c r="DV63" s="112">
        <f t="shared" si="82"/>
        <v>2.89</v>
      </c>
      <c r="DW63" s="260"/>
      <c r="DX63" s="168"/>
      <c r="DY63" s="168"/>
    </row>
    <row r="64" spans="1:129" s="151" customFormat="1" ht="14" customHeight="1">
      <c r="A64" s="158"/>
      <c r="B64" s="153" t="str">
        <f t="shared" ca="1" si="93"/>
        <v>-</v>
      </c>
      <c r="C64" s="154">
        <f t="shared" ca="1" si="94"/>
        <v>25</v>
      </c>
      <c r="D64" s="155">
        <f t="shared" ca="1" si="95"/>
        <v>25</v>
      </c>
      <c r="E64" s="156" t="str">
        <f t="shared" ca="1" si="96"/>
        <v>-</v>
      </c>
      <c r="F64" s="184"/>
      <c r="G64" s="195"/>
      <c r="H64" s="239">
        <v>74.599999999999994</v>
      </c>
      <c r="I64" s="240">
        <v>15.03</v>
      </c>
      <c r="J64" s="241">
        <v>15.81</v>
      </c>
      <c r="K64" s="181"/>
      <c r="L64" s="204">
        <f t="shared" ca="1" si="97"/>
        <v>74.599999999999994</v>
      </c>
      <c r="M64" s="95">
        <f t="shared" ca="1" si="98"/>
        <v>15.03</v>
      </c>
      <c r="N64" s="205">
        <f t="shared" ca="1" si="99"/>
        <v>15.81</v>
      </c>
      <c r="O64" s="21"/>
      <c r="P64" s="157">
        <f t="shared" ca="1" si="100"/>
        <v>0</v>
      </c>
      <c r="Q64" s="215"/>
      <c r="R64" s="289">
        <f t="shared" ca="1" si="101"/>
        <v>0</v>
      </c>
      <c r="S64" s="290"/>
      <c r="T64" s="148"/>
      <c r="U64" s="291">
        <f t="shared" ca="1" si="102"/>
        <v>0</v>
      </c>
      <c r="V64" s="292"/>
      <c r="W64" s="23"/>
      <c r="X64" s="291">
        <f t="shared" ca="1" si="103"/>
        <v>0</v>
      </c>
      <c r="Y64" s="292"/>
      <c r="Z64" s="215"/>
      <c r="AA64" s="215"/>
      <c r="AB64" s="215"/>
      <c r="AC64" s="94"/>
      <c r="AD64" s="94"/>
      <c r="AE64" s="149"/>
      <c r="AF64" s="149"/>
      <c r="AG64" s="112">
        <f t="shared" ca="1" si="104"/>
        <v>42.27</v>
      </c>
      <c r="AH64" s="112">
        <f t="shared" ca="1" si="105"/>
        <v>7.59</v>
      </c>
      <c r="AI64" s="112">
        <f t="shared" ca="1" si="106"/>
        <v>-9.49</v>
      </c>
      <c r="AJ64" s="112">
        <f t="shared" ca="1" si="107"/>
        <v>12.15188051290828</v>
      </c>
      <c r="AK64" s="112">
        <f t="shared" ca="1" si="108"/>
        <v>308.65244470452092</v>
      </c>
      <c r="AL64" s="255"/>
      <c r="AM64" s="112">
        <f t="shared" si="109"/>
        <v>42.27</v>
      </c>
      <c r="AN64" s="112">
        <f t="shared" si="110"/>
        <v>7.59</v>
      </c>
      <c r="AO64" s="112">
        <f t="shared" si="111"/>
        <v>-9.49</v>
      </c>
      <c r="AP64" s="112">
        <f t="shared" si="112"/>
        <v>12.15188051290828</v>
      </c>
      <c r="AQ64" s="112">
        <f t="shared" si="70"/>
        <v>308.65244470452092</v>
      </c>
      <c r="AR64" s="255"/>
      <c r="AS64" s="112">
        <f t="shared" ca="1" si="113"/>
        <v>0</v>
      </c>
      <c r="AT64" s="112">
        <f t="shared" ca="1" si="114"/>
        <v>0</v>
      </c>
      <c r="AU64" s="112">
        <f t="shared" ca="1" si="115"/>
        <v>0</v>
      </c>
      <c r="AV64" s="112">
        <f t="shared" ca="1" si="116"/>
        <v>0</v>
      </c>
      <c r="AW64" s="112">
        <f t="shared" ca="1" si="83"/>
        <v>0</v>
      </c>
      <c r="AX64" s="109">
        <f t="shared" ca="1" si="117"/>
        <v>0</v>
      </c>
      <c r="AY64" s="112">
        <f t="shared" si="118"/>
        <v>0.99195204876334819</v>
      </c>
      <c r="AZ64" s="112">
        <f t="shared" si="119"/>
        <v>1.3068206601428254</v>
      </c>
      <c r="BA64" s="112">
        <f t="shared" si="120"/>
        <v>0.86778910958209887</v>
      </c>
      <c r="BB64" s="112">
        <f t="shared" si="121"/>
        <v>0.64971546976484329</v>
      </c>
      <c r="BC64" s="112">
        <f t="shared" si="122"/>
        <v>0.95908871702842091</v>
      </c>
      <c r="BD64" s="112">
        <f t="shared" ca="1" si="123"/>
        <v>42.27</v>
      </c>
      <c r="BE64" s="112">
        <f t="shared" si="124"/>
        <v>12.15188051290828</v>
      </c>
      <c r="BF64" s="112">
        <f t="shared" ca="1" si="125"/>
        <v>12.15188051290828</v>
      </c>
      <c r="BG64" s="112">
        <f t="shared" ca="1" si="126"/>
        <v>12.15188051290828</v>
      </c>
      <c r="BH64" s="112">
        <f t="shared" ca="1" si="127"/>
        <v>0.46009342021965338</v>
      </c>
      <c r="BI64" s="112">
        <f t="shared" ca="1" si="128"/>
        <v>11.08210905946717</v>
      </c>
      <c r="BJ64" s="112">
        <f t="shared" ca="1" si="129"/>
        <v>11.08210905946717</v>
      </c>
      <c r="BK64" s="112">
        <f t="shared" ca="1" si="130"/>
        <v>14.59017618830987</v>
      </c>
      <c r="BL64" s="112">
        <f t="shared" ca="1" si="131"/>
        <v>14.59017618830987</v>
      </c>
      <c r="BM64" s="112">
        <f t="shared" ca="1" si="132"/>
        <v>14.59017618830987</v>
      </c>
      <c r="BN64" s="112">
        <f t="shared" ca="1" si="29"/>
        <v>319.42539261119066</v>
      </c>
      <c r="BO64" s="112">
        <f t="shared" ca="1" si="133"/>
        <v>319.42539261119066</v>
      </c>
      <c r="BP64" s="112">
        <f t="shared" ca="1" si="134"/>
        <v>319.42539261119066</v>
      </c>
      <c r="BQ64" s="112">
        <f t="shared" ca="1" si="135"/>
        <v>0.98218041555340629</v>
      </c>
      <c r="BR64" s="112">
        <f t="shared" ca="1" si="136"/>
        <v>0</v>
      </c>
      <c r="BS64" s="112">
        <f t="shared" ca="1" si="137"/>
        <v>0</v>
      </c>
      <c r="BT64" s="112">
        <f t="shared" ca="1" si="138"/>
        <v>0</v>
      </c>
      <c r="BU64" s="112">
        <f t="shared" ca="1" si="139"/>
        <v>0</v>
      </c>
      <c r="BV64" s="112">
        <f t="shared" ca="1" si="140"/>
        <v>1.1003637788742915</v>
      </c>
      <c r="BW64" s="112">
        <f t="shared" ca="1" si="141"/>
        <v>1.6565579284739442</v>
      </c>
      <c r="BX64" s="112">
        <f t="shared" ca="1" si="142"/>
        <v>1.2149527796744741</v>
      </c>
      <c r="BY64" s="112">
        <f t="shared" ca="1" si="143"/>
        <v>1.2755947849176454</v>
      </c>
      <c r="BZ64" s="112">
        <f t="shared" ca="1" si="144"/>
        <v>0.30026275577543693</v>
      </c>
      <c r="CA64" s="112">
        <f t="shared" ca="1" si="145"/>
        <v>-1.33652795799152E-2</v>
      </c>
      <c r="CB64" s="112">
        <v>1</v>
      </c>
      <c r="CC64" s="112">
        <v>1</v>
      </c>
      <c r="CD64" s="112">
        <v>1</v>
      </c>
      <c r="CE64" s="112">
        <v>1</v>
      </c>
      <c r="CF64" s="109">
        <f t="shared" ca="1" si="146"/>
        <v>1.5468346230808727</v>
      </c>
      <c r="CG64" s="112">
        <f t="shared" ca="1" si="147"/>
        <v>1.1822782076936242</v>
      </c>
      <c r="CH64" s="255"/>
      <c r="CI64" s="150" t="str">
        <f t="shared" ca="1" si="148"/>
        <v>C70M70Y40K0</v>
      </c>
      <c r="CJ64" s="125">
        <f t="shared" ca="1" si="46"/>
        <v>0</v>
      </c>
      <c r="CK64" s="125">
        <f t="shared" ca="1" si="47"/>
        <v>0</v>
      </c>
      <c r="CL64" s="125">
        <f t="shared" ca="1" si="48"/>
        <v>0</v>
      </c>
      <c r="CM64" s="124">
        <f t="shared" ca="1" si="149"/>
        <v>0</v>
      </c>
      <c r="CN64" s="112">
        <f t="shared" ca="1" si="150"/>
        <v>0</v>
      </c>
      <c r="CO64" s="112">
        <f t="shared" ca="1" si="151"/>
        <v>0</v>
      </c>
      <c r="CP64" s="112">
        <f t="shared" ca="1" si="152"/>
        <v>0</v>
      </c>
      <c r="CQ64" s="112" t="str">
        <f t="shared" ca="1" si="71"/>
        <v/>
      </c>
      <c r="CR64" s="112" t="str">
        <f t="shared" ca="1" si="72"/>
        <v/>
      </c>
      <c r="CS64" s="112" t="str">
        <f t="shared" ca="1" si="73"/>
        <v/>
      </c>
      <c r="CT64" s="112" t="str">
        <f t="shared" ca="1" si="74"/>
        <v/>
      </c>
      <c r="CU64" s="112" t="str">
        <f t="shared" ca="1" si="75"/>
        <v/>
      </c>
      <c r="CV64" s="112" t="str">
        <f t="shared" ca="1" si="76"/>
        <v/>
      </c>
      <c r="CW64" s="112" t="str">
        <f t="shared" ca="1" si="162"/>
        <v/>
      </c>
      <c r="CX64" s="112" t="str">
        <f t="shared" ca="1" si="77"/>
        <v/>
      </c>
      <c r="CY64" s="112" t="str">
        <f t="shared" ref="CY64:CY97" ca="1" si="165">IFERROR(IF(CW64="","",((($AN64-$AH64)^2+($AO64-$AI64)^2)^0.5)*(1-MAX(0,($DG64-50)/50*0.75))),((($AN64-$AH64)^2+($AO64-$AI64)^2)^0.5)*(1-MAX(0,($DJ64-50)/50*0.75)))</f>
        <v/>
      </c>
      <c r="CZ64" s="112" t="str">
        <f t="shared" ca="1" si="78"/>
        <v/>
      </c>
      <c r="DA64" s="112" t="str">
        <f t="shared" ca="1" si="55"/>
        <v/>
      </c>
      <c r="DB64" s="112" t="str">
        <f t="shared" ca="1" si="56"/>
        <v/>
      </c>
      <c r="DC64" s="112" t="str">
        <f t="shared" ca="1" si="163"/>
        <v/>
      </c>
      <c r="DD64" s="112" t="str">
        <f t="shared" ca="1" si="153"/>
        <v/>
      </c>
      <c r="DE64" s="112" t="str">
        <f t="shared" ca="1" si="164"/>
        <v/>
      </c>
      <c r="DF64" s="112" t="str">
        <f t="shared" ca="1" si="60"/>
        <v/>
      </c>
      <c r="DG64" s="125">
        <f t="shared" ca="1" si="154"/>
        <v>70</v>
      </c>
      <c r="DH64" s="125">
        <f t="shared" ca="1" si="155"/>
        <v>70</v>
      </c>
      <c r="DI64" s="125">
        <f t="shared" ca="1" si="156"/>
        <v>40</v>
      </c>
      <c r="DJ64" s="125" t="str">
        <f t="shared" ca="1" si="157"/>
        <v>-</v>
      </c>
      <c r="DK64" s="112">
        <f t="shared" ca="1" si="85"/>
        <v>0.13363409867393516</v>
      </c>
      <c r="DL64" s="112">
        <f t="shared" ca="1" si="86"/>
        <v>0.12675382875156319</v>
      </c>
      <c r="DM64" s="112">
        <f t="shared" ca="1" si="87"/>
        <v>0.13707630657826211</v>
      </c>
      <c r="DN64" s="112">
        <f t="shared" si="158"/>
        <v>0.13363409867393516</v>
      </c>
      <c r="DO64" s="112">
        <f t="shared" si="159"/>
        <v>0.12675382875156319</v>
      </c>
      <c r="DP64" s="112">
        <f t="shared" si="160"/>
        <v>0.13707630657826211</v>
      </c>
      <c r="DQ64" s="112">
        <f t="shared" ca="1" si="79"/>
        <v>42.27</v>
      </c>
      <c r="DR64" s="112">
        <f t="shared" ca="1" si="67"/>
        <v>7.59</v>
      </c>
      <c r="DS64" s="112">
        <f t="shared" ca="1" si="68"/>
        <v>-9.49</v>
      </c>
      <c r="DT64" s="112">
        <f t="shared" si="80"/>
        <v>42.27</v>
      </c>
      <c r="DU64" s="112">
        <f t="shared" si="81"/>
        <v>7.59</v>
      </c>
      <c r="DV64" s="112">
        <f t="shared" si="82"/>
        <v>-9.49</v>
      </c>
      <c r="DW64" s="260"/>
      <c r="DX64" s="168"/>
      <c r="DY64" s="168"/>
    </row>
    <row r="65" spans="1:260" s="151" customFormat="1" ht="14" customHeight="1">
      <c r="A65" s="158"/>
      <c r="B65" s="153">
        <f t="shared" ca="1" si="93"/>
        <v>70</v>
      </c>
      <c r="C65" s="154">
        <f t="shared" ca="1" si="94"/>
        <v>40</v>
      </c>
      <c r="D65" s="155" t="str">
        <f t="shared" ca="1" si="95"/>
        <v>-</v>
      </c>
      <c r="E65" s="156">
        <f t="shared" ca="1" si="96"/>
        <v>40</v>
      </c>
      <c r="F65" s="184"/>
      <c r="G65" s="195"/>
      <c r="H65" s="239">
        <v>40.770000000000003</v>
      </c>
      <c r="I65" s="240">
        <v>0.3</v>
      </c>
      <c r="J65" s="241">
        <v>-17.59</v>
      </c>
      <c r="K65" s="181"/>
      <c r="L65" s="204">
        <f t="shared" ca="1" si="97"/>
        <v>40.770000000000003</v>
      </c>
      <c r="M65" s="95">
        <f t="shared" ca="1" si="98"/>
        <v>0.3</v>
      </c>
      <c r="N65" s="205">
        <f t="shared" ca="1" si="99"/>
        <v>-17.59</v>
      </c>
      <c r="O65" s="21"/>
      <c r="P65" s="157">
        <f t="shared" ca="1" si="100"/>
        <v>0</v>
      </c>
      <c r="Q65" s="215"/>
      <c r="R65" s="289">
        <f t="shared" ca="1" si="101"/>
        <v>0</v>
      </c>
      <c r="S65" s="290"/>
      <c r="T65" s="148"/>
      <c r="U65" s="291">
        <f t="shared" ca="1" si="102"/>
        <v>0</v>
      </c>
      <c r="V65" s="292"/>
      <c r="W65" s="23"/>
      <c r="X65" s="291">
        <f t="shared" ca="1" si="103"/>
        <v>0</v>
      </c>
      <c r="Y65" s="292"/>
      <c r="Z65" s="215"/>
      <c r="AA65" s="215"/>
      <c r="AB65" s="215"/>
      <c r="AC65" s="94"/>
      <c r="AD65" s="94"/>
      <c r="AE65" s="149"/>
      <c r="AF65" s="149"/>
      <c r="AG65" s="112">
        <f t="shared" ca="1" si="104"/>
        <v>80.05</v>
      </c>
      <c r="AH65" s="112">
        <f t="shared" ca="1" si="105"/>
        <v>-0.05</v>
      </c>
      <c r="AI65" s="112">
        <f t="shared" ca="1" si="106"/>
        <v>2.5299999999999998</v>
      </c>
      <c r="AJ65" s="112">
        <f t="shared" ca="1" si="107"/>
        <v>2.5304940229133126</v>
      </c>
      <c r="AK65" s="112">
        <f t="shared" ca="1" si="108"/>
        <v>91.132180275131304</v>
      </c>
      <c r="AL65" s="255"/>
      <c r="AM65" s="112">
        <f t="shared" si="109"/>
        <v>80.05</v>
      </c>
      <c r="AN65" s="112">
        <f t="shared" si="110"/>
        <v>-0.05</v>
      </c>
      <c r="AO65" s="112">
        <f t="shared" si="111"/>
        <v>2.5299999999999998</v>
      </c>
      <c r="AP65" s="112">
        <f t="shared" si="112"/>
        <v>2.5304940229133126</v>
      </c>
      <c r="AQ65" s="112">
        <f t="shared" si="70"/>
        <v>91.132180275131304</v>
      </c>
      <c r="AR65" s="255"/>
      <c r="AS65" s="112">
        <f t="shared" ca="1" si="113"/>
        <v>0</v>
      </c>
      <c r="AT65" s="112">
        <f t="shared" ca="1" si="114"/>
        <v>0</v>
      </c>
      <c r="AU65" s="112">
        <f t="shared" ca="1" si="115"/>
        <v>0</v>
      </c>
      <c r="AV65" s="112">
        <f t="shared" ca="1" si="116"/>
        <v>0</v>
      </c>
      <c r="AW65" s="112">
        <f t="shared" ca="1" si="83"/>
        <v>0</v>
      </c>
      <c r="AX65" s="109">
        <f t="shared" ca="1" si="117"/>
        <v>0</v>
      </c>
      <c r="AY65" s="112">
        <f t="shared" si="118"/>
        <v>1.3593901692270551</v>
      </c>
      <c r="AZ65" s="112">
        <f t="shared" si="119"/>
        <v>0.79426540310395988</v>
      </c>
      <c r="BA65" s="112">
        <f t="shared" si="120"/>
        <v>0.74761075476205696</v>
      </c>
      <c r="BB65" s="112">
        <f t="shared" si="121"/>
        <v>0.5958600293336811</v>
      </c>
      <c r="BC65" s="112">
        <f t="shared" si="122"/>
        <v>0.14534412070689393</v>
      </c>
      <c r="BD65" s="112">
        <f t="shared" ca="1" si="123"/>
        <v>80.05</v>
      </c>
      <c r="BE65" s="112">
        <f t="shared" si="124"/>
        <v>2.5304940229133126</v>
      </c>
      <c r="BF65" s="112">
        <f t="shared" ca="1" si="125"/>
        <v>2.5304940229133126</v>
      </c>
      <c r="BG65" s="112">
        <f t="shared" ca="1" si="126"/>
        <v>2.5304940229133126</v>
      </c>
      <c r="BH65" s="112">
        <f t="shared" ca="1" si="127"/>
        <v>0.49983503243815142</v>
      </c>
      <c r="BI65" s="112">
        <f t="shared" ca="1" si="128"/>
        <v>-7.4991751621907562E-2</v>
      </c>
      <c r="BJ65" s="112">
        <f t="shared" ca="1" si="129"/>
        <v>-7.4991751621907562E-2</v>
      </c>
      <c r="BK65" s="112">
        <f t="shared" ca="1" si="130"/>
        <v>2.531111171563059</v>
      </c>
      <c r="BL65" s="112">
        <f t="shared" ca="1" si="131"/>
        <v>2.531111171563059</v>
      </c>
      <c r="BM65" s="112">
        <f t="shared" ca="1" si="132"/>
        <v>2.531111171563059</v>
      </c>
      <c r="BN65" s="112">
        <f t="shared" ca="1" si="29"/>
        <v>91.697807581409435</v>
      </c>
      <c r="BO65" s="112">
        <f t="shared" ca="1" si="133"/>
        <v>91.697807581409435</v>
      </c>
      <c r="BP65" s="112">
        <f t="shared" ca="1" si="134"/>
        <v>91.697807581409435</v>
      </c>
      <c r="BQ65" s="112">
        <f t="shared" ca="1" si="135"/>
        <v>0.63015792769958368</v>
      </c>
      <c r="BR65" s="112">
        <f t="shared" ca="1" si="136"/>
        <v>0</v>
      </c>
      <c r="BS65" s="112">
        <f t="shared" ca="1" si="137"/>
        <v>0</v>
      </c>
      <c r="BT65" s="112">
        <f t="shared" ca="1" si="138"/>
        <v>0</v>
      </c>
      <c r="BU65" s="112">
        <f t="shared" ca="1" si="139"/>
        <v>0</v>
      </c>
      <c r="BV65" s="112">
        <f t="shared" ca="1" si="140"/>
        <v>1.4458397361850683</v>
      </c>
      <c r="BW65" s="112">
        <f t="shared" ca="1" si="141"/>
        <v>1.1139000027203376</v>
      </c>
      <c r="BX65" s="112">
        <f t="shared" ca="1" si="142"/>
        <v>1.0239249965597417</v>
      </c>
      <c r="BY65" s="112">
        <f t="shared" ca="1" si="143"/>
        <v>1.3479156479021989E-22</v>
      </c>
      <c r="BZ65" s="112">
        <f t="shared" ca="1" si="144"/>
        <v>6.6043368185344164E-4</v>
      </c>
      <c r="CA65" s="112">
        <f t="shared" ca="1" si="145"/>
        <v>-3.1074152467675408E-27</v>
      </c>
      <c r="CB65" s="112">
        <v>1</v>
      </c>
      <c r="CC65" s="112">
        <v>1</v>
      </c>
      <c r="CD65" s="112">
        <v>1</v>
      </c>
      <c r="CE65" s="112">
        <v>1</v>
      </c>
      <c r="CF65" s="109">
        <f t="shared" ca="1" si="146"/>
        <v>1.1138722310310991</v>
      </c>
      <c r="CG65" s="112">
        <f t="shared" ca="1" si="147"/>
        <v>1.0379574103436997</v>
      </c>
      <c r="CH65" s="255"/>
      <c r="CI65" s="150" t="str">
        <f t="shared" ca="1" si="148"/>
        <v>C0M0Y0K10</v>
      </c>
      <c r="CJ65" s="125">
        <f t="shared" ca="1" si="46"/>
        <v>0</v>
      </c>
      <c r="CK65" s="125">
        <f t="shared" ca="1" si="47"/>
        <v>0</v>
      </c>
      <c r="CL65" s="125">
        <f t="shared" ca="1" si="48"/>
        <v>0</v>
      </c>
      <c r="CM65" s="124">
        <f t="shared" ca="1" si="149"/>
        <v>0</v>
      </c>
      <c r="CN65" s="112">
        <f t="shared" ca="1" si="150"/>
        <v>0</v>
      </c>
      <c r="CO65" s="112">
        <f t="shared" ca="1" si="151"/>
        <v>0</v>
      </c>
      <c r="CP65" s="112">
        <f t="shared" ca="1" si="152"/>
        <v>0</v>
      </c>
      <c r="CQ65" s="112" t="str">
        <f t="shared" ca="1" si="71"/>
        <v/>
      </c>
      <c r="CR65" s="112" t="str">
        <f t="shared" ca="1" si="72"/>
        <v/>
      </c>
      <c r="CS65" s="112" t="str">
        <f t="shared" ca="1" si="73"/>
        <v/>
      </c>
      <c r="CT65" s="112" t="str">
        <f t="shared" ca="1" si="74"/>
        <v/>
      </c>
      <c r="CU65" s="112" t="str">
        <f t="shared" ca="1" si="75"/>
        <v/>
      </c>
      <c r="CV65" s="112" t="str">
        <f t="shared" ca="1" si="76"/>
        <v/>
      </c>
      <c r="CW65" s="112" t="str">
        <f t="shared" ca="1" si="162"/>
        <v/>
      </c>
      <c r="CX65" s="112" t="str">
        <f t="shared" ca="1" si="77"/>
        <v/>
      </c>
      <c r="CY65" s="112" t="str">
        <f t="shared" ca="1" si="165"/>
        <v/>
      </c>
      <c r="CZ65" s="112" t="str">
        <f t="shared" ca="1" si="78"/>
        <v/>
      </c>
      <c r="DA65" s="112" t="str">
        <f t="shared" ca="1" si="55"/>
        <v/>
      </c>
      <c r="DB65" s="112" t="str">
        <f t="shared" ca="1" si="56"/>
        <v>C0M0Y0K10</v>
      </c>
      <c r="DC65" s="112">
        <f t="shared" ca="1" si="163"/>
        <v>0</v>
      </c>
      <c r="DD65" s="112">
        <f t="shared" ca="1" si="153"/>
        <v>0</v>
      </c>
      <c r="DE65" s="112">
        <f t="shared" ca="1" si="164"/>
        <v>0</v>
      </c>
      <c r="DF65" s="112">
        <f t="shared" ca="1" si="60"/>
        <v>0</v>
      </c>
      <c r="DG65" s="125" t="str">
        <f t="shared" ca="1" si="154"/>
        <v>-</v>
      </c>
      <c r="DH65" s="125" t="str">
        <f t="shared" ca="1" si="155"/>
        <v>-</v>
      </c>
      <c r="DI65" s="125" t="str">
        <f t="shared" ca="1" si="156"/>
        <v>-</v>
      </c>
      <c r="DJ65" s="125">
        <f t="shared" ca="1" si="157"/>
        <v>10</v>
      </c>
      <c r="DK65" s="112">
        <f t="shared" ca="1" si="85"/>
        <v>0.54717709294277939</v>
      </c>
      <c r="DL65" s="112">
        <f t="shared" ca="1" si="86"/>
        <v>0.56769901397979106</v>
      </c>
      <c r="DM65" s="112">
        <f t="shared" ca="1" si="87"/>
        <v>0.44715807789845685</v>
      </c>
      <c r="DN65" s="112">
        <f t="shared" si="158"/>
        <v>0.54717709294277939</v>
      </c>
      <c r="DO65" s="112">
        <f t="shared" si="159"/>
        <v>0.56769901397979106</v>
      </c>
      <c r="DP65" s="112">
        <f t="shared" si="160"/>
        <v>0.44715807789845685</v>
      </c>
      <c r="DQ65" s="112">
        <f t="shared" ca="1" si="79"/>
        <v>80.05</v>
      </c>
      <c r="DR65" s="112">
        <f t="shared" ca="1" si="67"/>
        <v>-0.05</v>
      </c>
      <c r="DS65" s="112">
        <f t="shared" ca="1" si="68"/>
        <v>2.5299999999999998</v>
      </c>
      <c r="DT65" s="112">
        <f t="shared" si="80"/>
        <v>80.05</v>
      </c>
      <c r="DU65" s="112">
        <f t="shared" si="81"/>
        <v>-0.05</v>
      </c>
      <c r="DV65" s="112">
        <f t="shared" si="82"/>
        <v>2.5299999999999998</v>
      </c>
      <c r="DW65" s="260"/>
      <c r="DX65" s="168"/>
      <c r="DY65" s="168"/>
    </row>
    <row r="66" spans="1:260" s="151" customFormat="1" ht="14" customHeight="1">
      <c r="A66" s="158"/>
      <c r="B66" s="153" t="str">
        <f t="shared" ca="1" si="93"/>
        <v>-</v>
      </c>
      <c r="C66" s="154" t="str">
        <f t="shared" ca="1" si="94"/>
        <v>-</v>
      </c>
      <c r="D66" s="155">
        <f t="shared" ca="1" si="95"/>
        <v>100</v>
      </c>
      <c r="E66" s="156" t="str">
        <f t="shared" ca="1" si="96"/>
        <v>-</v>
      </c>
      <c r="F66" s="184"/>
      <c r="G66" s="195"/>
      <c r="H66" s="239">
        <v>82</v>
      </c>
      <c r="I66" s="240">
        <v>-2</v>
      </c>
      <c r="J66" s="241">
        <v>72</v>
      </c>
      <c r="K66" s="181"/>
      <c r="L66" s="204">
        <f t="shared" ca="1" si="97"/>
        <v>82</v>
      </c>
      <c r="M66" s="95">
        <f t="shared" ca="1" si="98"/>
        <v>-2</v>
      </c>
      <c r="N66" s="205">
        <f t="shared" ca="1" si="99"/>
        <v>72</v>
      </c>
      <c r="O66" s="21"/>
      <c r="P66" s="157">
        <f t="shared" ca="1" si="100"/>
        <v>0</v>
      </c>
      <c r="Q66" s="215"/>
      <c r="R66" s="289">
        <f t="shared" ca="1" si="101"/>
        <v>0</v>
      </c>
      <c r="S66" s="290"/>
      <c r="T66" s="148"/>
      <c r="U66" s="291">
        <f t="shared" ca="1" si="102"/>
        <v>0</v>
      </c>
      <c r="V66" s="292"/>
      <c r="W66" s="23"/>
      <c r="X66" s="291">
        <f t="shared" ca="1" si="103"/>
        <v>0</v>
      </c>
      <c r="Y66" s="292"/>
      <c r="Z66" s="215"/>
      <c r="AA66" s="215"/>
      <c r="AB66" s="215"/>
      <c r="AC66" s="94"/>
      <c r="AD66" s="94"/>
      <c r="AE66" s="149"/>
      <c r="AF66" s="149"/>
      <c r="AG66" s="112">
        <f t="shared" ca="1" si="104"/>
        <v>79.459999999999994</v>
      </c>
      <c r="AH66" s="112">
        <f t="shared" ca="1" si="105"/>
        <v>0.21</v>
      </c>
      <c r="AI66" s="112">
        <f t="shared" ca="1" si="106"/>
        <v>2.75</v>
      </c>
      <c r="AJ66" s="112">
        <f t="shared" ca="1" si="107"/>
        <v>2.7580065264607336</v>
      </c>
      <c r="AK66" s="112">
        <f t="shared" ca="1" si="108"/>
        <v>85.633161037443486</v>
      </c>
      <c r="AL66" s="255"/>
      <c r="AM66" s="112">
        <f t="shared" si="109"/>
        <v>79.459999999999994</v>
      </c>
      <c r="AN66" s="112">
        <f t="shared" si="110"/>
        <v>0.21</v>
      </c>
      <c r="AO66" s="112">
        <f t="shared" si="111"/>
        <v>2.75</v>
      </c>
      <c r="AP66" s="112">
        <f t="shared" si="112"/>
        <v>2.7580065264607336</v>
      </c>
      <c r="AQ66" s="112">
        <f t="shared" si="70"/>
        <v>85.633161037443486</v>
      </c>
      <c r="AR66" s="255"/>
      <c r="AS66" s="112">
        <f t="shared" ca="1" si="113"/>
        <v>0</v>
      </c>
      <c r="AT66" s="112">
        <f t="shared" ca="1" si="114"/>
        <v>0</v>
      </c>
      <c r="AU66" s="112">
        <f t="shared" ca="1" si="115"/>
        <v>0</v>
      </c>
      <c r="AV66" s="112">
        <f t="shared" ca="1" si="116"/>
        <v>0</v>
      </c>
      <c r="AW66" s="112">
        <f t="shared" ca="1" si="83"/>
        <v>0</v>
      </c>
      <c r="AX66" s="109">
        <f t="shared" ca="1" si="117"/>
        <v>0</v>
      </c>
      <c r="AY66" s="112">
        <f t="shared" si="118"/>
        <v>1.3552197759887847</v>
      </c>
      <c r="AZ66" s="112">
        <f t="shared" si="119"/>
        <v>0.80782505654091197</v>
      </c>
      <c r="BA66" s="112">
        <f t="shared" si="120"/>
        <v>0.74725095642693273</v>
      </c>
      <c r="BB66" s="112">
        <f t="shared" si="121"/>
        <v>0.5638158006055316</v>
      </c>
      <c r="BC66" s="112">
        <f t="shared" si="122"/>
        <v>0.17190943855438023</v>
      </c>
      <c r="BD66" s="112">
        <f t="shared" ca="1" si="123"/>
        <v>79.459999999999994</v>
      </c>
      <c r="BE66" s="112">
        <f t="shared" si="124"/>
        <v>2.7580065264607336</v>
      </c>
      <c r="BF66" s="112">
        <f t="shared" ca="1" si="125"/>
        <v>2.7580065264607336</v>
      </c>
      <c r="BG66" s="112">
        <f t="shared" ca="1" si="126"/>
        <v>2.7580065264607336</v>
      </c>
      <c r="BH66" s="112">
        <f t="shared" ca="1" si="127"/>
        <v>0.49977702126659262</v>
      </c>
      <c r="BI66" s="112">
        <f t="shared" ca="1" si="128"/>
        <v>0.31495317446598442</v>
      </c>
      <c r="BJ66" s="112">
        <f t="shared" ca="1" si="129"/>
        <v>0.31495317446598442</v>
      </c>
      <c r="BK66" s="112">
        <f t="shared" ca="1" si="130"/>
        <v>2.7679767885779318</v>
      </c>
      <c r="BL66" s="112">
        <f t="shared" ca="1" si="131"/>
        <v>2.7679767885779318</v>
      </c>
      <c r="BM66" s="112">
        <f t="shared" ca="1" si="132"/>
        <v>2.7679767885779318</v>
      </c>
      <c r="BN66" s="112">
        <f t="shared" ca="1" si="29"/>
        <v>83.466471498863697</v>
      </c>
      <c r="BO66" s="112">
        <f t="shared" ca="1" si="133"/>
        <v>83.466471498863697</v>
      </c>
      <c r="BP66" s="112">
        <f t="shared" ca="1" si="134"/>
        <v>83.466471498863697</v>
      </c>
      <c r="BQ66" s="112">
        <f t="shared" ca="1" si="135"/>
        <v>0.58674365378541382</v>
      </c>
      <c r="BR66" s="112">
        <f t="shared" ca="1" si="136"/>
        <v>0</v>
      </c>
      <c r="BS66" s="112">
        <f t="shared" ca="1" si="137"/>
        <v>0</v>
      </c>
      <c r="BT66" s="112">
        <f t="shared" ca="1" si="138"/>
        <v>0</v>
      </c>
      <c r="BU66" s="112">
        <f t="shared" ca="1" si="139"/>
        <v>0</v>
      </c>
      <c r="BV66" s="112">
        <f t="shared" ca="1" si="140"/>
        <v>1.4368946940911862</v>
      </c>
      <c r="BW66" s="112">
        <f t="shared" ca="1" si="141"/>
        <v>1.1245589554860069</v>
      </c>
      <c r="BX66" s="112">
        <f t="shared" ca="1" si="142"/>
        <v>1.0243613922178514</v>
      </c>
      <c r="BY66" s="112">
        <f t="shared" ca="1" si="143"/>
        <v>9.6762714118577393E-25</v>
      </c>
      <c r="BZ66" s="112">
        <f t="shared" ca="1" si="144"/>
        <v>9.0325104939023842E-4</v>
      </c>
      <c r="CA66" s="112">
        <f t="shared" ca="1" si="145"/>
        <v>-3.0508712443469391E-29</v>
      </c>
      <c r="CB66" s="112">
        <v>1</v>
      </c>
      <c r="CC66" s="112">
        <v>1</v>
      </c>
      <c r="CD66" s="112">
        <v>1</v>
      </c>
      <c r="CE66" s="112">
        <v>1</v>
      </c>
      <c r="CF66" s="109">
        <f t="shared" ca="1" si="146"/>
        <v>1.124110293690733</v>
      </c>
      <c r="CG66" s="112">
        <f t="shared" ca="1" si="147"/>
        <v>1.0413700978969109</v>
      </c>
      <c r="CH66" s="255"/>
      <c r="CI66" s="150" t="str">
        <f t="shared" ca="1" si="148"/>
        <v>C10M7Y7K0</v>
      </c>
      <c r="CJ66" s="125">
        <f t="shared" ca="1" si="46"/>
        <v>0</v>
      </c>
      <c r="CK66" s="125">
        <f t="shared" ca="1" si="47"/>
        <v>0</v>
      </c>
      <c r="CL66" s="125">
        <f t="shared" ca="1" si="48"/>
        <v>0</v>
      </c>
      <c r="CM66" s="124">
        <f t="shared" ca="1" si="149"/>
        <v>0</v>
      </c>
      <c r="CN66" s="112">
        <f t="shared" ca="1" si="150"/>
        <v>0</v>
      </c>
      <c r="CO66" s="112">
        <f t="shared" ca="1" si="151"/>
        <v>0</v>
      </c>
      <c r="CP66" s="112">
        <f t="shared" ca="1" si="152"/>
        <v>0</v>
      </c>
      <c r="CQ66" s="112" t="str">
        <f t="shared" ca="1" si="71"/>
        <v/>
      </c>
      <c r="CR66" s="112" t="str">
        <f t="shared" ca="1" si="72"/>
        <v/>
      </c>
      <c r="CS66" s="112" t="str">
        <f t="shared" ca="1" si="73"/>
        <v/>
      </c>
      <c r="CT66" s="112" t="str">
        <f t="shared" ca="1" si="74"/>
        <v/>
      </c>
      <c r="CU66" s="112" t="str">
        <f t="shared" ca="1" si="75"/>
        <v/>
      </c>
      <c r="CV66" s="112" t="str">
        <f t="shared" ca="1" si="76"/>
        <v/>
      </c>
      <c r="CW66" s="112" t="str">
        <f t="shared" ca="1" si="162"/>
        <v>C10M7Y7K0</v>
      </c>
      <c r="CX66" s="112">
        <f t="shared" ca="1" si="77"/>
        <v>0</v>
      </c>
      <c r="CY66" s="112">
        <f t="shared" ca="1" si="165"/>
        <v>0</v>
      </c>
      <c r="CZ66" s="112">
        <f t="shared" ca="1" si="78"/>
        <v>0</v>
      </c>
      <c r="DA66" s="112">
        <f t="shared" ca="1" si="55"/>
        <v>0</v>
      </c>
      <c r="DB66" s="112" t="str">
        <f t="shared" ca="1" si="56"/>
        <v>C10M7Y7K0</v>
      </c>
      <c r="DC66" s="112">
        <f t="shared" ca="1" si="163"/>
        <v>0</v>
      </c>
      <c r="DD66" s="112">
        <f t="shared" ca="1" si="153"/>
        <v>0</v>
      </c>
      <c r="DE66" s="112">
        <f t="shared" ca="1" si="164"/>
        <v>0</v>
      </c>
      <c r="DF66" s="112">
        <f t="shared" ca="1" si="60"/>
        <v>0</v>
      </c>
      <c r="DG66" s="125">
        <f t="shared" ca="1" si="154"/>
        <v>10</v>
      </c>
      <c r="DH66" s="125">
        <f t="shared" ca="1" si="155"/>
        <v>7.4580000000000002</v>
      </c>
      <c r="DI66" s="125">
        <f t="shared" ca="1" si="156"/>
        <v>7.4580000000000002</v>
      </c>
      <c r="DJ66" s="125" t="str">
        <f t="shared" ca="1" si="157"/>
        <v>-</v>
      </c>
      <c r="DK66" s="112">
        <f t="shared" ca="1" si="85"/>
        <v>0.53817340658906532</v>
      </c>
      <c r="DL66" s="112">
        <f t="shared" ca="1" si="86"/>
        <v>0.55730164170835217</v>
      </c>
      <c r="DM66" s="112">
        <f t="shared" ca="1" si="87"/>
        <v>0.43705731096802186</v>
      </c>
      <c r="DN66" s="112">
        <f t="shared" si="158"/>
        <v>0.53817340658906532</v>
      </c>
      <c r="DO66" s="112">
        <f t="shared" si="159"/>
        <v>0.55730164170835217</v>
      </c>
      <c r="DP66" s="112">
        <f t="shared" si="160"/>
        <v>0.43705731096802186</v>
      </c>
      <c r="DQ66" s="112">
        <f t="shared" ca="1" si="79"/>
        <v>79.459999999999994</v>
      </c>
      <c r="DR66" s="112">
        <f t="shared" ca="1" si="67"/>
        <v>0.21</v>
      </c>
      <c r="DS66" s="112">
        <f t="shared" ca="1" si="68"/>
        <v>2.75</v>
      </c>
      <c r="DT66" s="112">
        <f t="shared" si="80"/>
        <v>79.459999999999994</v>
      </c>
      <c r="DU66" s="112">
        <f t="shared" si="81"/>
        <v>0.21</v>
      </c>
      <c r="DV66" s="112">
        <f t="shared" si="82"/>
        <v>2.75</v>
      </c>
      <c r="DW66" s="260"/>
      <c r="DX66" s="168"/>
      <c r="DY66" s="168"/>
    </row>
    <row r="67" spans="1:260" s="151" customFormat="1" ht="14" customHeight="1">
      <c r="A67" s="158"/>
      <c r="B67" s="153">
        <f t="shared" ca="1" si="93"/>
        <v>100</v>
      </c>
      <c r="C67" s="154" t="str">
        <f t="shared" ca="1" si="94"/>
        <v>-</v>
      </c>
      <c r="D67" s="155">
        <f t="shared" ca="1" si="95"/>
        <v>100</v>
      </c>
      <c r="E67" s="156">
        <f t="shared" ca="1" si="96"/>
        <v>80</v>
      </c>
      <c r="F67" s="184"/>
      <c r="G67" s="195"/>
      <c r="H67" s="239">
        <v>29.23</v>
      </c>
      <c r="I67" s="240">
        <v>-12.09</v>
      </c>
      <c r="J67" s="241">
        <v>4.7300000000000004</v>
      </c>
      <c r="K67" s="181"/>
      <c r="L67" s="204">
        <f t="shared" ca="1" si="97"/>
        <v>29.23</v>
      </c>
      <c r="M67" s="95">
        <f t="shared" ca="1" si="98"/>
        <v>-12.09</v>
      </c>
      <c r="N67" s="205">
        <f t="shared" ca="1" si="99"/>
        <v>4.7300000000000004</v>
      </c>
      <c r="O67" s="21"/>
      <c r="P67" s="157">
        <f t="shared" ca="1" si="100"/>
        <v>0</v>
      </c>
      <c r="Q67" s="215"/>
      <c r="R67" s="289">
        <f t="shared" ca="1" si="101"/>
        <v>0</v>
      </c>
      <c r="S67" s="290"/>
      <c r="T67" s="148"/>
      <c r="U67" s="291">
        <f t="shared" ca="1" si="102"/>
        <v>0</v>
      </c>
      <c r="V67" s="292"/>
      <c r="W67" s="23"/>
      <c r="X67" s="291">
        <f t="shared" ca="1" si="103"/>
        <v>0</v>
      </c>
      <c r="Y67" s="292"/>
      <c r="Z67" s="215"/>
      <c r="AA67" s="215"/>
      <c r="AB67" s="215"/>
      <c r="AC67" s="94"/>
      <c r="AD67" s="94"/>
      <c r="AE67" s="149"/>
      <c r="AF67" s="149"/>
      <c r="AG67" s="112">
        <f t="shared" ca="1" si="104"/>
        <v>47.71</v>
      </c>
      <c r="AH67" s="112">
        <f t="shared" ca="1" si="105"/>
        <v>21.96</v>
      </c>
      <c r="AI67" s="112">
        <f t="shared" ca="1" si="106"/>
        <v>-0.42</v>
      </c>
      <c r="AJ67" s="112">
        <f t="shared" ca="1" si="107"/>
        <v>21.964016026218886</v>
      </c>
      <c r="AK67" s="112">
        <f t="shared" ca="1" si="108"/>
        <v>358.90431266511848</v>
      </c>
      <c r="AL67" s="255"/>
      <c r="AM67" s="112">
        <f t="shared" si="109"/>
        <v>47.71</v>
      </c>
      <c r="AN67" s="112">
        <f t="shared" si="110"/>
        <v>21.96</v>
      </c>
      <c r="AO67" s="112">
        <f t="shared" si="111"/>
        <v>-0.42</v>
      </c>
      <c r="AP67" s="112">
        <f t="shared" si="112"/>
        <v>21.964016026218886</v>
      </c>
      <c r="AQ67" s="112">
        <f t="shared" si="70"/>
        <v>358.90431266511848</v>
      </c>
      <c r="AR67" s="255"/>
      <c r="AS67" s="112">
        <f t="shared" ca="1" si="113"/>
        <v>0</v>
      </c>
      <c r="AT67" s="112">
        <f t="shared" ca="1" si="114"/>
        <v>0</v>
      </c>
      <c r="AU67" s="112">
        <f t="shared" ca="1" si="115"/>
        <v>0</v>
      </c>
      <c r="AV67" s="112">
        <f t="shared" ca="1" si="116"/>
        <v>0</v>
      </c>
      <c r="AW67" s="112">
        <f t="shared" ca="1" si="83"/>
        <v>0</v>
      </c>
      <c r="AX67" s="109">
        <f t="shared" ca="1" si="117"/>
        <v>0</v>
      </c>
      <c r="AY67" s="112">
        <f t="shared" si="118"/>
        <v>1.0612544830399739</v>
      </c>
      <c r="AZ67" s="112">
        <f t="shared" si="119"/>
        <v>1.7261984073758239</v>
      </c>
      <c r="BA67" s="112">
        <f t="shared" si="120"/>
        <v>1.1966659669086417</v>
      </c>
      <c r="BB67" s="112">
        <f t="shared" si="121"/>
        <v>0.6919881204619921</v>
      </c>
      <c r="BC67" s="112">
        <f t="shared" si="122"/>
        <v>0.99594279184771428</v>
      </c>
      <c r="BD67" s="112">
        <f t="shared" ca="1" si="123"/>
        <v>47.71</v>
      </c>
      <c r="BE67" s="112">
        <f t="shared" si="124"/>
        <v>21.964016026218886</v>
      </c>
      <c r="BF67" s="112">
        <f t="shared" ca="1" si="125"/>
        <v>21.964016026218886</v>
      </c>
      <c r="BG67" s="112">
        <f t="shared" ca="1" si="126"/>
        <v>21.964016026218886</v>
      </c>
      <c r="BH67" s="112">
        <f t="shared" ca="1" si="127"/>
        <v>0.23178407885216179</v>
      </c>
      <c r="BI67" s="112">
        <f t="shared" ca="1" si="128"/>
        <v>27.049978371593475</v>
      </c>
      <c r="BJ67" s="112">
        <f t="shared" ca="1" si="129"/>
        <v>27.049978371593475</v>
      </c>
      <c r="BK67" s="112">
        <f t="shared" ca="1" si="130"/>
        <v>27.053238806170228</v>
      </c>
      <c r="BL67" s="112">
        <f t="shared" ca="1" si="131"/>
        <v>27.053238806170228</v>
      </c>
      <c r="BM67" s="112">
        <f t="shared" ca="1" si="132"/>
        <v>27.053238806170228</v>
      </c>
      <c r="BN67" s="112">
        <f t="shared" ca="1" si="29"/>
        <v>359.11045053243726</v>
      </c>
      <c r="BO67" s="112">
        <f t="shared" ca="1" si="133"/>
        <v>359.11045053243726</v>
      </c>
      <c r="BP67" s="112">
        <f t="shared" ca="1" si="134"/>
        <v>359.11045053243726</v>
      </c>
      <c r="BQ67" s="112">
        <f t="shared" ca="1" si="135"/>
        <v>1.3338931345111598</v>
      </c>
      <c r="BR67" s="112">
        <f t="shared" ca="1" si="136"/>
        <v>0</v>
      </c>
      <c r="BS67" s="112">
        <f t="shared" ca="1" si="137"/>
        <v>0</v>
      </c>
      <c r="BT67" s="112">
        <f t="shared" ca="1" si="138"/>
        <v>0</v>
      </c>
      <c r="BU67" s="112">
        <f t="shared" ca="1" si="139"/>
        <v>0</v>
      </c>
      <c r="BV67" s="112">
        <f t="shared" ca="1" si="140"/>
        <v>1.0156560528174052</v>
      </c>
      <c r="BW67" s="112">
        <f t="shared" ca="1" si="141"/>
        <v>2.2173957462776599</v>
      </c>
      <c r="BX67" s="112">
        <f t="shared" ca="1" si="142"/>
        <v>1.5412919426476202</v>
      </c>
      <c r="BY67" s="112">
        <f t="shared" ca="1" si="143"/>
        <v>3.6408935475045812E-4</v>
      </c>
      <c r="BZ67" s="112">
        <f t="shared" ca="1" si="144"/>
        <v>1.5933853349646112</v>
      </c>
      <c r="CA67" s="112">
        <f t="shared" ca="1" si="145"/>
        <v>-2.0250519092004973E-5</v>
      </c>
      <c r="CB67" s="112">
        <v>1</v>
      </c>
      <c r="CC67" s="112">
        <v>1</v>
      </c>
      <c r="CD67" s="112">
        <v>1</v>
      </c>
      <c r="CE67" s="112">
        <v>1</v>
      </c>
      <c r="CF67" s="109">
        <f t="shared" ca="1" si="146"/>
        <v>1.9883807211798499</v>
      </c>
      <c r="CG67" s="112">
        <f t="shared" ca="1" si="147"/>
        <v>1.3294602403932831</v>
      </c>
      <c r="CH67" s="255"/>
      <c r="CI67" s="150" t="str">
        <f t="shared" ca="1" si="148"/>
        <v>C40M70Y40K0</v>
      </c>
      <c r="CJ67" s="125">
        <f t="shared" ca="1" si="46"/>
        <v>0</v>
      </c>
      <c r="CK67" s="125">
        <f t="shared" ca="1" si="47"/>
        <v>0</v>
      </c>
      <c r="CL67" s="125">
        <f t="shared" ca="1" si="48"/>
        <v>0</v>
      </c>
      <c r="CM67" s="124">
        <f t="shared" ca="1" si="149"/>
        <v>0</v>
      </c>
      <c r="CN67" s="112">
        <f t="shared" ca="1" si="150"/>
        <v>0</v>
      </c>
      <c r="CO67" s="112">
        <f t="shared" ca="1" si="151"/>
        <v>0</v>
      </c>
      <c r="CP67" s="112">
        <f t="shared" ca="1" si="152"/>
        <v>0</v>
      </c>
      <c r="CQ67" s="112" t="str">
        <f t="shared" ca="1" si="71"/>
        <v/>
      </c>
      <c r="CR67" s="112" t="str">
        <f t="shared" ca="1" si="72"/>
        <v/>
      </c>
      <c r="CS67" s="112" t="str">
        <f t="shared" ca="1" si="73"/>
        <v/>
      </c>
      <c r="CT67" s="112" t="str">
        <f t="shared" ca="1" si="74"/>
        <v/>
      </c>
      <c r="CU67" s="112" t="str">
        <f t="shared" ca="1" si="75"/>
        <v/>
      </c>
      <c r="CV67" s="112" t="str">
        <f t="shared" ca="1" si="76"/>
        <v/>
      </c>
      <c r="CW67" s="112" t="str">
        <f t="shared" ca="1" si="162"/>
        <v/>
      </c>
      <c r="CX67" s="112" t="str">
        <f t="shared" ca="1" si="77"/>
        <v/>
      </c>
      <c r="CY67" s="112" t="str">
        <f t="shared" ca="1" si="165"/>
        <v/>
      </c>
      <c r="CZ67" s="112" t="str">
        <f t="shared" ca="1" si="78"/>
        <v/>
      </c>
      <c r="DA67" s="112" t="str">
        <f t="shared" ca="1" si="55"/>
        <v/>
      </c>
      <c r="DB67" s="112" t="str">
        <f t="shared" ca="1" si="56"/>
        <v/>
      </c>
      <c r="DC67" s="112" t="str">
        <f t="shared" ca="1" si="163"/>
        <v/>
      </c>
      <c r="DD67" s="112" t="str">
        <f t="shared" ca="1" si="153"/>
        <v/>
      </c>
      <c r="DE67" s="112" t="str">
        <f t="shared" ca="1" si="164"/>
        <v/>
      </c>
      <c r="DF67" s="112" t="str">
        <f t="shared" ca="1" si="60"/>
        <v/>
      </c>
      <c r="DG67" s="125">
        <f t="shared" ca="1" si="154"/>
        <v>40</v>
      </c>
      <c r="DH67" s="125">
        <f t="shared" ca="1" si="155"/>
        <v>70</v>
      </c>
      <c r="DI67" s="125">
        <f t="shared" ca="1" si="156"/>
        <v>40</v>
      </c>
      <c r="DJ67" s="125" t="str">
        <f t="shared" ca="1" si="157"/>
        <v>-</v>
      </c>
      <c r="DK67" s="112">
        <f t="shared" ca="1" si="85"/>
        <v>0.20120920956506588</v>
      </c>
      <c r="DL67" s="112">
        <f t="shared" ca="1" si="86"/>
        <v>0.16567189794259199</v>
      </c>
      <c r="DM67" s="112">
        <f t="shared" ca="1" si="87"/>
        <v>0.13823637121335558</v>
      </c>
      <c r="DN67" s="112">
        <f t="shared" si="158"/>
        <v>0.20120920956506588</v>
      </c>
      <c r="DO67" s="112">
        <f t="shared" si="159"/>
        <v>0.16567189794259199</v>
      </c>
      <c r="DP67" s="112">
        <f t="shared" si="160"/>
        <v>0.13823637121335558</v>
      </c>
      <c r="DQ67" s="112">
        <f t="shared" ca="1" si="79"/>
        <v>47.71</v>
      </c>
      <c r="DR67" s="112">
        <f t="shared" ca="1" si="67"/>
        <v>21.96</v>
      </c>
      <c r="DS67" s="112">
        <f t="shared" ca="1" si="68"/>
        <v>-0.42</v>
      </c>
      <c r="DT67" s="112">
        <f t="shared" si="80"/>
        <v>47.71</v>
      </c>
      <c r="DU67" s="112">
        <f t="shared" si="81"/>
        <v>21.96</v>
      </c>
      <c r="DV67" s="112">
        <f t="shared" si="82"/>
        <v>-0.42</v>
      </c>
      <c r="DW67" s="260"/>
      <c r="DX67" s="168"/>
      <c r="DY67" s="168"/>
    </row>
    <row r="68" spans="1:260" s="151" customFormat="1" ht="14" customHeight="1">
      <c r="A68" s="158"/>
      <c r="B68" s="153">
        <f t="shared" ref="B68:B99" ca="1" si="166">IFERROR(IF(INDEX(INDIRECT("CMYK_"&amp;VLOOKUP($B$31,$AI$2:$AJ$4,2,FALSE)),$AJ137,AG$103)=0,"-",INDEX(INDIRECT("CMYK_"&amp;VLOOKUP($B$31,$AI$2:$AJ$4,2,FALSE)),$AJ137,AG$103)),"-")</f>
        <v>40</v>
      </c>
      <c r="C68" s="154">
        <f t="shared" ref="C68:C99" ca="1" si="167">IFERROR(IF(INDEX(INDIRECT("CMYK_"&amp;VLOOKUP($B$31,$AI$2:$AJ$4,2,FALSE)),$AJ137,AH$103)=0,"-",INDEX(INDIRECT("CMYK_"&amp;VLOOKUP($B$31,$AI$2:$AJ$4,2,FALSE)),$AJ137,AH$103)),"-")</f>
        <v>70</v>
      </c>
      <c r="D68" s="155" t="str">
        <f t="shared" ref="D68:D99" ca="1" si="168">IFERROR(IF(INDEX(INDIRECT("CMYK_"&amp;VLOOKUP($B$31,$AI$2:$AJ$4,2,FALSE)),$AJ137,AI$103)=0,"-",INDEX(INDIRECT("CMYK_"&amp;VLOOKUP($B$31,$AI$2:$AJ$4,2,FALSE)),$AJ137,AI$103)),"-")</f>
        <v>-</v>
      </c>
      <c r="E68" s="156">
        <f t="shared" ref="E68:E99" ca="1" si="169">IFERROR(IF(INDEX(INDIRECT("CMYK_"&amp;VLOOKUP($B$31,$AI$2:$AJ$4,2,FALSE)),$AJ137,AJ$103)=0,"-",INDEX(INDIRECT("CMYK_"&amp;VLOOKUP($B$31,$AI$2:$AJ$4,2,FALSE)),$AJ137,AJ$103)),"-")</f>
        <v>40</v>
      </c>
      <c r="F68" s="184"/>
      <c r="G68" s="195"/>
      <c r="H68" s="239">
        <v>39.68</v>
      </c>
      <c r="I68" s="240">
        <v>17</v>
      </c>
      <c r="J68" s="241">
        <v>-11.84</v>
      </c>
      <c r="K68" s="181"/>
      <c r="L68" s="204">
        <f t="shared" ref="L68:L99" ca="1" si="170">IFERROR(IF(OR($H$31="M1 - SCCA OFF",$H$31="M0 - SCCA OFF"),AG137,BE137),"")</f>
        <v>39.68</v>
      </c>
      <c r="M68" s="95">
        <f t="shared" ref="M68:M99" ca="1" si="171">IFERROR(IF(OR($H$31="M1 - SCCA OFF",$H$31="M0 - SCCA OFF"),AH137,BF137),"")</f>
        <v>17</v>
      </c>
      <c r="N68" s="205">
        <f t="shared" ref="N68:N99" ca="1" si="172">IFERROR(IF(OR($H$31="M1 - SCCA OFF",$H$31="M0 - SCCA OFF"),AI137,BG137),"")</f>
        <v>-11.84</v>
      </c>
      <c r="O68" s="21"/>
      <c r="P68" s="157">
        <f t="shared" ref="P68:P99" ca="1" si="173">IFERROR(CP46,"")</f>
        <v>0</v>
      </c>
      <c r="Q68" s="215"/>
      <c r="R68" s="289">
        <f t="shared" ref="R68:R99" ca="1" si="174">IFERROR(CO46,"")</f>
        <v>0</v>
      </c>
      <c r="S68" s="290"/>
      <c r="T68" s="148"/>
      <c r="U68" s="291">
        <f t="shared" ref="U68:U99" ca="1" si="175">IFERROR(CN46,"")</f>
        <v>0</v>
      </c>
      <c r="V68" s="292"/>
      <c r="W68" s="23"/>
      <c r="X68" s="291">
        <f t="shared" ref="X68:X99" ca="1" si="176">IFERROR(CM46,"")</f>
        <v>0</v>
      </c>
      <c r="Y68" s="292"/>
      <c r="Z68" s="215"/>
      <c r="AA68" s="215"/>
      <c r="AB68" s="215"/>
      <c r="AC68" s="94"/>
      <c r="AD68" s="94"/>
      <c r="AE68" s="149"/>
      <c r="AF68" s="149"/>
      <c r="AG68" s="109">
        <f t="shared" ca="1" si="104"/>
        <v>70.63</v>
      </c>
      <c r="AH68" s="109">
        <f t="shared" ca="1" si="105"/>
        <v>-0.09</v>
      </c>
      <c r="AI68" s="109">
        <f t="shared" ca="1" si="106"/>
        <v>1.93</v>
      </c>
      <c r="AJ68" s="109">
        <f ca="1">IFERROR(SQRT(AH68^2+AI68^2),"")</f>
        <v>1.9320973060381819</v>
      </c>
      <c r="AK68" s="113">
        <f ca="1">IFERROR(IF(DEGREES(ATAN2(AH68,AI68))&lt;0,DEGREES(ATAN2(AH68,AI68))+360,IF(DEGREES(ATAN2(AH68,AI68))&gt;360,DEGREES(ATAN2(AH68,AI68))-360,DEGREES(ATAN2(AH68,AI68)))),"")</f>
        <v>92.669889762007628</v>
      </c>
      <c r="AL68" s="159"/>
      <c r="AM68" s="112">
        <f t="shared" si="109"/>
        <v>70.63</v>
      </c>
      <c r="AN68" s="112">
        <f t="shared" si="110"/>
        <v>-0.09</v>
      </c>
      <c r="AO68" s="112">
        <f t="shared" si="111"/>
        <v>1.93</v>
      </c>
      <c r="AP68" s="113">
        <f>IFERROR(SQRT(AN68^2+AO68^2),"")</f>
        <v>1.9320973060381819</v>
      </c>
      <c r="AQ68" s="112">
        <f t="shared" si="70"/>
        <v>92.669889762007628</v>
      </c>
      <c r="AR68" s="255"/>
      <c r="AS68" s="112">
        <f ca="1">IFERROR(AM68-AG68,"")</f>
        <v>0</v>
      </c>
      <c r="AT68" s="112">
        <f ca="1">IFERROR(AN68-AH68,"")</f>
        <v>0</v>
      </c>
      <c r="AU68" s="112">
        <f ca="1">IFERROR(AO68-AI68,"")</f>
        <v>0</v>
      </c>
      <c r="AV68" s="112">
        <f ca="1">IFERROR(AP68-AJ68,"")</f>
        <v>0</v>
      </c>
      <c r="AW68" s="112">
        <f t="shared" ca="1" si="83"/>
        <v>0</v>
      </c>
      <c r="AX68" s="112">
        <f t="shared" ref="AX68:AX97" ca="1" si="177">IFERROR(ABS((M90-I90)^2+(N90-J90)^2)^0.5,"")</f>
        <v>0</v>
      </c>
      <c r="AY68" s="112">
        <f>IFERROR(IF(AM68&lt;16,0.511,(0.040975*AM68)/(1+(0.01765*AM68))),"")</f>
        <v>1.288186205986372</v>
      </c>
      <c r="AZ68" s="112">
        <f>IFERROR(0.0638*AP68/(1+(0.0131*AP68))+0.638,"")</f>
        <v>0.75822485985058274</v>
      </c>
      <c r="BA68" s="112">
        <f>IFERROR(AZ68*(BC68*BB68+1-BC68),"")</f>
        <v>0.73263311742795412</v>
      </c>
      <c r="BB68" s="112">
        <f>IFERROR(IF(AND(AQ68&gt;=164,AQ68&lt;=345),0.56+ABS(0.2*(COS(RADIANS(AQ68+168)))),0.36+ABS(0.4*(COS(RADIANS(AQ68+35))))),"")</f>
        <v>0.6044444599044837</v>
      </c>
      <c r="BC68" s="112">
        <f>IFERROR(SQRT(AP68^4/(AP68^4+1900)),"")</f>
        <v>8.5328549854175664E-2</v>
      </c>
      <c r="BD68" s="112">
        <f ca="1">IFERROR((AM68+AG68)/2,"")</f>
        <v>70.63</v>
      </c>
      <c r="BE68" s="112">
        <f>IFERROR(SQRT(AN68^2+AO68^2),"")</f>
        <v>1.9320973060381819</v>
      </c>
      <c r="BF68" s="112">
        <f ca="1">IFERROR(SQRT(AH68^2+AI68^2),"")</f>
        <v>1.9320973060381819</v>
      </c>
      <c r="BG68" s="112">
        <f ca="1">IFERROR((BE68+BF68)/2,"")</f>
        <v>1.9320973060381819</v>
      </c>
      <c r="BH68" s="112">
        <f ca="1">IFERROR((1-SQRT(BG68^7/(BG68^7+25^7)))/2,"")</f>
        <v>0.49993583747407017</v>
      </c>
      <c r="BI68" s="112">
        <f ca="1">IFERROR(AN68*(1+BH68),"")</f>
        <v>-0.13499422537266631</v>
      </c>
      <c r="BJ68" s="112">
        <f ca="1">IFERROR(AH68*(1+BH68),"")</f>
        <v>-0.13499422537266631</v>
      </c>
      <c r="BK68" s="112">
        <f ca="1">IFERROR(SQRT(BI68^2+AO68^2),"")</f>
        <v>1.9347153384629909</v>
      </c>
      <c r="BL68" s="112">
        <f ca="1">IFERROR(SQRT(BJ68^2+AI68^2),"")</f>
        <v>1.9347153384629909</v>
      </c>
      <c r="BM68" s="112">
        <f ca="1">IFERROR((BK68+BL68)/2,"")</f>
        <v>1.9347153384629909</v>
      </c>
      <c r="BN68" s="112">
        <f t="shared" ca="1" si="29"/>
        <v>94.001048116154536</v>
      </c>
      <c r="BO68" s="112">
        <f ca="1">IFERROR(IF(DEGREES(ATAN2(BJ68,AI68))&gt;=0,DEGREES(ATAN2(BJ68,AI68)),DEGREES(ATAN2(BJ68,AI68))+360),"")</f>
        <v>94.001048116154536</v>
      </c>
      <c r="BP68" s="112">
        <f ca="1">IFERROR(IF((BN68-BO68)&gt;180,(BN68+BO68+360)/2,(BN68+BO68)/2),"")</f>
        <v>94.001048116154536</v>
      </c>
      <c r="BQ68" s="112">
        <f ca="1">IFERROR(1-0.17*(COS(RADIANS(BP68-30)))+0.24*COS(RADIANS(2*BP68))+0.32*COS(RADIANS(3*BP68+6))-0.2*COS(RADIANS(4*BP68-63)),"")</f>
        <v>0.65030835112053986</v>
      </c>
      <c r="BR68" s="112">
        <f ca="1">IFERROR(IF((BO68-BN68)&lt;=180,BO68-BN68,IF(AND(BO68-BN68&gt;180,BO68&lt;=BN68),BO68-BN68+360,BO68-BN68-360)),"")</f>
        <v>0</v>
      </c>
      <c r="BS68" s="112">
        <f ca="1">IFERROR(AG68-AM68,"")</f>
        <v>0</v>
      </c>
      <c r="BT68" s="112">
        <f ca="1">IFERROR(BL68-BK68,"")</f>
        <v>0</v>
      </c>
      <c r="BU68" s="112">
        <f ca="1">IFERROR(2*SQRT(BK68*BL68)*SIN(RADIANS(BR68/2)),"")</f>
        <v>0</v>
      </c>
      <c r="BV68" s="112">
        <f ca="1">IFERROR(1+(0.015*(BD68-50)^2)/SQRT(20+(BD68-50)^2),"")</f>
        <v>1.3024256582541918</v>
      </c>
      <c r="BW68" s="112">
        <f ca="1">IFERROR(1+0.045*BM68,"")</f>
        <v>1.0870621902308346</v>
      </c>
      <c r="BX68" s="112">
        <f ca="1">IFERROR(1+0.015*BM68*BQ68,"")</f>
        <v>1.0188724231246522</v>
      </c>
      <c r="BY68" s="112">
        <f ca="1">IFERROR(30*EXP(-1*((BP68-275)/25)^2),"")</f>
        <v>5.1607220127178115E-22</v>
      </c>
      <c r="BZ68" s="112">
        <f ca="1">IFERROR(2*SQRT(BM68^7/(BM68^7+25^7)),"")</f>
        <v>2.5786934871120144E-4</v>
      </c>
      <c r="CA68" s="112">
        <f ca="1">IFERROR(-SIN(2*RADIANS(BY68))*BZ68,"")</f>
        <v>-4.6453404966599453E-27</v>
      </c>
      <c r="CB68" s="112">
        <v>1</v>
      </c>
      <c r="CC68" s="112">
        <v>1</v>
      </c>
      <c r="CD68" s="112">
        <v>1</v>
      </c>
      <c r="CE68" s="112">
        <v>1</v>
      </c>
      <c r="CF68" s="112">
        <f ca="1">IFERROR(1+0.045*AJ68,"")</f>
        <v>1.0869443787717181</v>
      </c>
      <c r="CG68" s="112">
        <f ca="1">IFERROR(1+0.015*AJ68,"")</f>
        <v>1.0289814595905726</v>
      </c>
      <c r="CH68" s="255"/>
      <c r="CI68" s="150" t="str">
        <f t="shared" ref="CI68:CI97" ca="1" si="178">IFERROR(INDEX(INDIRECT("CMYK_"&amp;VLOOKUP($B$31,$AI$2:$AJ$3,2,FALSE)),$AJ159,9),"")</f>
        <v>C0M0Y0K25</v>
      </c>
      <c r="CJ68" s="125">
        <f ca="1">IFERROR(AS68,"")</f>
        <v>0</v>
      </c>
      <c r="CK68" s="125">
        <f ca="1">IFERROR(AV68,"")</f>
        <v>0</v>
      </c>
      <c r="CL68" s="125">
        <f ca="1">IFERROR(AW68,"")</f>
        <v>0</v>
      </c>
      <c r="CM68" s="112">
        <f t="shared" ref="CM68:CM97" ca="1" si="179">IFERROR(SQRT((AS68/($AN$5*AY68))^2+(AV68/($AN$6*AZ68))^2+(AW68/BA68)^2),"")</f>
        <v>0</v>
      </c>
      <c r="CN68" s="112">
        <f ca="1">IFERROR(SQRT((BS68/(CB68*BV68))^2+(BT68/(CC68*BW68))^2+(BU68/(CD68*BX68))^2+CA68*(BT68/(CC68*BW68))*(BU68/(CD68*BX68))),"")</f>
        <v>0</v>
      </c>
      <c r="CO68" s="112">
        <f ca="1">IFERROR(SQRT(AS68^2+(AV68/CF68)^2+(AW68/CG68)^2),"")</f>
        <v>0</v>
      </c>
      <c r="CP68" s="112">
        <f ca="1">IFERROR(SQRT(AS68^2+AT68^2+AU68^2),"")</f>
        <v>0</v>
      </c>
      <c r="CQ68" s="112" t="str">
        <f ca="1">IFERROR(IF(OR(CI68="C100M0Y0K0",CI68="C0M100Y0K0",CI68="C0M0Y100K0"),CI68,""),"")</f>
        <v/>
      </c>
      <c r="CR68" s="112" t="str">
        <f ca="1">IFERROR(IF(CQ68="","",CP68),"")</f>
        <v/>
      </c>
      <c r="CS68" s="112" t="str">
        <f ca="1">IFERROR(IF(CQ68="","",CL68),"")</f>
        <v/>
      </c>
      <c r="CT68" s="112" t="str">
        <f ca="1">IFERROR(IF(OR(CI68="C100M100Y0K0",CI68="C0M100Y100K0",CI68="C100M0Y100K0"),CI68,""),"")</f>
        <v/>
      </c>
      <c r="CU68" s="112" t="str">
        <f ca="1">IFERROR(IF(CT68="","",CP68),"")</f>
        <v/>
      </c>
      <c r="CV68" s="112" t="str">
        <f ca="1">IFERROR(IF(CT68="","",CL68),"")</f>
        <v/>
      </c>
      <c r="CW68" s="112" t="str">
        <f t="shared" ca="1" si="162"/>
        <v/>
      </c>
      <c r="CX68" s="112" t="str">
        <f ca="1">IFERROR(IF(CW68="","",CP68),"")</f>
        <v/>
      </c>
      <c r="CY68" s="112" t="str">
        <f t="shared" ca="1" si="165"/>
        <v/>
      </c>
      <c r="CZ68" s="112" t="str">
        <f ca="1">IFERROR(IF(CW68="","",CL68),"")</f>
        <v/>
      </c>
      <c r="DA68" s="112" t="str">
        <f t="shared" ca="1" si="55"/>
        <v/>
      </c>
      <c r="DB68" s="112" t="str">
        <f t="shared" ca="1" si="56"/>
        <v>C0M0Y0K25</v>
      </c>
      <c r="DC68" s="112">
        <f t="shared" ca="1" si="163"/>
        <v>0</v>
      </c>
      <c r="DD68" s="112">
        <f t="shared" ca="1" si="153"/>
        <v>0</v>
      </c>
      <c r="DE68" s="112">
        <f t="shared" ca="1" si="164"/>
        <v>0</v>
      </c>
      <c r="DF68" s="112">
        <f t="shared" ca="1" si="60"/>
        <v>0</v>
      </c>
      <c r="DG68" s="125" t="str">
        <f t="shared" ref="DG68:DG97" ca="1" si="180">IFERROR(IF(INDEX(INDIRECT("CMYK_"&amp;VLOOKUP($B$31,$AI$2:$AJ$3,2,FALSE)),$AJ159,1)=0,"-",INDEX(INDIRECT("CMYK_"&amp;VLOOKUP($B$31,$AI$2:$AJ$3,2,FALSE)),$AJ159,1)),"")</f>
        <v>-</v>
      </c>
      <c r="DH68" s="125" t="str">
        <f t="shared" ref="DH68:DH97" ca="1" si="181">IFERROR(IF(INDEX(INDIRECT("CMYK_"&amp;VLOOKUP($B$31,$AI$2:$AJ$3,2,FALSE)),$AJ159,2)=0,"-",INDEX(INDIRECT("CMYK_"&amp;VLOOKUP($B$31,$AI$2:$AJ$3,2,FALSE)),$AJ159,2)),"")</f>
        <v>-</v>
      </c>
      <c r="DI68" s="125" t="str">
        <f t="shared" ref="DI68:DI97" ca="1" si="182">IFERROR(IF(INDEX(INDIRECT("CMYK_"&amp;VLOOKUP($B$31,$AI$2:$AJ$3,2,FALSE)),$AJ159,3)=0,"-",INDEX(INDIRECT("CMYK_"&amp;VLOOKUP($B$31,$AI$2:$AJ$3,2,FALSE)),$AJ159,3)),"")</f>
        <v>-</v>
      </c>
      <c r="DJ68" s="125">
        <f t="shared" ref="DJ68:DJ97" ca="1" si="183">IFERROR(IF(INDEX(INDIRECT("CMYK_"&amp;VLOOKUP($B$31,$AI$2:$AJ$3,2,FALSE)),$AJ159,4)=0,"-",INDEX(INDIRECT("CMYK_"&amp;VLOOKUP($B$31,$AI$2:$AJ$3,2,FALSE)),$AJ159,4)),"")</f>
        <v>25</v>
      </c>
      <c r="DK68" s="112">
        <f t="shared" ref="DK68:DK97" ca="1" si="184">IFERROR(AQ159,"")</f>
        <v>0.40131374748325538</v>
      </c>
      <c r="DL68" s="112">
        <f t="shared" ref="DL68:DL97" ca="1" si="185">IFERROR(AR159,"")</f>
        <v>0.41651531572058598</v>
      </c>
      <c r="DM68" s="112">
        <f t="shared" ref="DM68:DM97" ca="1" si="186">IFERROR(AS159,"")</f>
        <v>0.3304358789275747</v>
      </c>
      <c r="DN68" s="112">
        <f t="shared" ref="DN68:DN97" si="187">IFERROR(BS159,"")</f>
        <v>0.40131374748325538</v>
      </c>
      <c r="DO68" s="112">
        <f t="shared" ref="DO68:DO97" si="188">IFERROR(BT159,"")</f>
        <v>0.41651531572058598</v>
      </c>
      <c r="DP68" s="112">
        <f t="shared" ref="DP68:DP97" si="189">IFERROR(BU159,"")</f>
        <v>0.3304358789275747</v>
      </c>
      <c r="DQ68" s="112">
        <f t="shared" ca="1" si="79"/>
        <v>70.63</v>
      </c>
      <c r="DR68" s="112">
        <f t="shared" ca="1" si="67"/>
        <v>-0.09</v>
      </c>
      <c r="DS68" s="112">
        <f t="shared" ca="1" si="68"/>
        <v>1.93</v>
      </c>
      <c r="DT68" s="112">
        <f>IFERROR(AM68,"")</f>
        <v>70.63</v>
      </c>
      <c r="DU68" s="112">
        <f>IFERROR(AN68,"")</f>
        <v>-0.09</v>
      </c>
      <c r="DV68" s="112">
        <f>IFERROR(AO68,"")</f>
        <v>1.93</v>
      </c>
      <c r="DW68" s="260"/>
      <c r="DX68" s="168"/>
      <c r="DY68" s="168"/>
    </row>
    <row r="69" spans="1:260" s="151" customFormat="1" ht="14" customHeight="1">
      <c r="A69" s="158"/>
      <c r="B69" s="153" t="str">
        <f t="shared" ca="1" si="166"/>
        <v>-</v>
      </c>
      <c r="C69" s="154" t="str">
        <f t="shared" ca="1" si="167"/>
        <v>-</v>
      </c>
      <c r="D69" s="155">
        <f t="shared" ca="1" si="168"/>
        <v>75</v>
      </c>
      <c r="E69" s="156" t="str">
        <f t="shared" ca="1" si="169"/>
        <v>-</v>
      </c>
      <c r="F69" s="184"/>
      <c r="G69" s="195"/>
      <c r="H69" s="239">
        <v>82.55</v>
      </c>
      <c r="I69" s="240">
        <v>-2.7</v>
      </c>
      <c r="J69" s="241">
        <v>58.3</v>
      </c>
      <c r="K69" s="181"/>
      <c r="L69" s="204">
        <f t="shared" ca="1" si="170"/>
        <v>82.55</v>
      </c>
      <c r="M69" s="95">
        <f t="shared" ca="1" si="171"/>
        <v>-2.7</v>
      </c>
      <c r="N69" s="205">
        <f t="shared" ca="1" si="172"/>
        <v>58.3</v>
      </c>
      <c r="O69" s="21"/>
      <c r="P69" s="157">
        <f t="shared" ca="1" si="173"/>
        <v>0</v>
      </c>
      <c r="Q69" s="215"/>
      <c r="R69" s="289">
        <f t="shared" ca="1" si="174"/>
        <v>0</v>
      </c>
      <c r="S69" s="290"/>
      <c r="T69" s="148"/>
      <c r="U69" s="291">
        <f t="shared" ca="1" si="175"/>
        <v>0</v>
      </c>
      <c r="V69" s="292"/>
      <c r="W69" s="23"/>
      <c r="X69" s="291">
        <f t="shared" ca="1" si="176"/>
        <v>0</v>
      </c>
      <c r="Y69" s="292"/>
      <c r="Z69" s="215"/>
      <c r="AA69" s="215"/>
      <c r="AB69" s="215"/>
      <c r="AC69" s="94"/>
      <c r="AD69" s="94"/>
      <c r="AE69" s="149"/>
      <c r="AF69" s="149"/>
      <c r="AG69" s="109">
        <f t="shared" ca="1" si="104"/>
        <v>68.97</v>
      </c>
      <c r="AH69" s="109">
        <f t="shared" ca="1" si="105"/>
        <v>0.09</v>
      </c>
      <c r="AI69" s="109">
        <f t="shared" ca="1" si="106"/>
        <v>2.2000000000000002</v>
      </c>
      <c r="AJ69" s="109">
        <f t="shared" ref="AJ69:AJ97" ca="1" si="190">IFERROR(SQRT(AH69^2+AI69^2),"")</f>
        <v>2.2018401395196703</v>
      </c>
      <c r="AK69" s="113">
        <f t="shared" ref="AK69:AK97" ca="1" si="191">IFERROR(IF(DEGREES(ATAN2(AH69,AI69))&lt;0,DEGREES(ATAN2(AH69,AI69))+360,IF(DEGREES(ATAN2(AH69,AI69))&gt;360,DEGREES(ATAN2(AH69,AI69))-360,DEGREES(ATAN2(AH69,AI69)))),"")</f>
        <v>87.657387993501743</v>
      </c>
      <c r="AL69" s="159"/>
      <c r="AM69" s="112">
        <f t="shared" si="109"/>
        <v>68.97</v>
      </c>
      <c r="AN69" s="112">
        <f t="shared" si="110"/>
        <v>0.09</v>
      </c>
      <c r="AO69" s="112">
        <f t="shared" si="111"/>
        <v>2.2000000000000002</v>
      </c>
      <c r="AP69" s="113">
        <f t="shared" ref="AP69:AP97" si="192">IFERROR(SQRT(AN69^2+AO69^2),"")</f>
        <v>2.2018401395196703</v>
      </c>
      <c r="AQ69" s="112">
        <f t="shared" si="70"/>
        <v>87.657387993501743</v>
      </c>
      <c r="AR69" s="255"/>
      <c r="AS69" s="112">
        <f t="shared" ref="AS69:AS97" ca="1" si="193">IFERROR(AM69-AG69,"")</f>
        <v>0</v>
      </c>
      <c r="AT69" s="112">
        <f t="shared" ref="AT69:AT97" ca="1" si="194">IFERROR(AN69-AH69,"")</f>
        <v>0</v>
      </c>
      <c r="AU69" s="112">
        <f t="shared" ref="AU69:AU97" ca="1" si="195">IFERROR(AO69-AI69,"")</f>
        <v>0</v>
      </c>
      <c r="AV69" s="112">
        <f t="shared" ref="AV69:AV97" ca="1" si="196">IFERROR(AP69-AJ69,"")</f>
        <v>0</v>
      </c>
      <c r="AW69" s="112">
        <f t="shared" ca="1" si="83"/>
        <v>0</v>
      </c>
      <c r="AX69" s="112">
        <f t="shared" ca="1" si="177"/>
        <v>0</v>
      </c>
      <c r="AY69" s="112">
        <f t="shared" ref="AY69:AY97" si="197">IFERROR(IF(AM69&lt;16,0.511,(0.040975*AM69)/(1+(0.01765*AM69))),"")</f>
        <v>1.2745319181417392</v>
      </c>
      <c r="AZ69" s="112">
        <f t="shared" ref="AZ69:AZ97" si="198">IFERROR(0.0638*AP69/(1+(0.0131*AP69))+0.638,"")</f>
        <v>0.77453905397877609</v>
      </c>
      <c r="BA69" s="112">
        <f t="shared" ref="BA69:BA97" si="199">IFERROR(AZ69*(BC69*BB69+1-BC69),"")</f>
        <v>0.7382235413411431</v>
      </c>
      <c r="BB69" s="112">
        <f t="shared" ref="BB69:BB97" si="200">IFERROR(IF(AND(AQ69&gt;=164,AQ69&lt;=345),0.56+ABS(0.2*(COS(RADIANS(AQ69+168)))),0.36+ABS(0.4*(COS(RADIANS(AQ69+35))))),"")</f>
        <v>0.57584572915370424</v>
      </c>
      <c r="BC69" s="112">
        <f t="shared" ref="BC69:BC97" si="201">IFERROR(SQRT(AP69^4/(AP69^4+1900)),"")</f>
        <v>0.11054141361592734</v>
      </c>
      <c r="BD69" s="112">
        <f t="shared" ref="BD69:BD97" ca="1" si="202">IFERROR((AM69+AG69)/2,"")</f>
        <v>68.97</v>
      </c>
      <c r="BE69" s="112">
        <f t="shared" ref="BE69:BE97" si="203">IFERROR(SQRT(AN69^2+AO69^2),"")</f>
        <v>2.2018401395196703</v>
      </c>
      <c r="BF69" s="112">
        <f t="shared" ref="BF69:BF97" ca="1" si="204">IFERROR(SQRT(AH69^2+AI69^2),"")</f>
        <v>2.2018401395196703</v>
      </c>
      <c r="BG69" s="112">
        <f t="shared" ref="BG69:BG97" ca="1" si="205">IFERROR((BE69+BF69)/2,"")</f>
        <v>2.2018401395196703</v>
      </c>
      <c r="BH69" s="112">
        <f t="shared" ref="BH69:BH97" ca="1" si="206">IFERROR((1-SQRT(BG69^7/(BG69^7+25^7)))/2,"")</f>
        <v>0.49989862515310596</v>
      </c>
      <c r="BI69" s="112">
        <f t="shared" ref="BI69:BI97" ca="1" si="207">IFERROR(AN69*(1+BH69),"")</f>
        <v>0.13499087626377954</v>
      </c>
      <c r="BJ69" s="112">
        <f t="shared" ref="BJ69:BJ97" ca="1" si="208">IFERROR(AH69*(1+BH69),"")</f>
        <v>0.13499087626377954</v>
      </c>
      <c r="BK69" s="112">
        <f t="shared" ref="BK69:BK97" ca="1" si="209">IFERROR(SQRT(BI69^2+AO69^2),"")</f>
        <v>2.2041375947690889</v>
      </c>
      <c r="BL69" s="112">
        <f t="shared" ref="BL69:BL97" ca="1" si="210">IFERROR(SQRT(BJ69^2+AI69^2),"")</f>
        <v>2.2041375947690889</v>
      </c>
      <c r="BM69" s="112">
        <f t="shared" ref="BM69:BM97" ca="1" si="211">IFERROR((BK69+BL69)/2,"")</f>
        <v>2.2041375947690889</v>
      </c>
      <c r="BN69" s="112">
        <f t="shared" ca="1" si="29"/>
        <v>86.488762407512326</v>
      </c>
      <c r="BO69" s="112">
        <f t="shared" ref="BO69:BO97" ca="1" si="212">IFERROR(IF(DEGREES(ATAN2(BJ69,AI69))&gt;=0,DEGREES(ATAN2(BJ69,AI69)),DEGREES(ATAN2(BJ69,AI69))+360),"")</f>
        <v>86.488762407512326</v>
      </c>
      <c r="BP69" s="112">
        <f t="shared" ref="BP69:BP97" ca="1" si="213">IFERROR(IF((BN69-BO69)&gt;180,(BN69+BO69+360)/2,(BN69+BO69)/2),"")</f>
        <v>86.488762407512326</v>
      </c>
      <c r="BQ69" s="112">
        <f t="shared" ref="BQ69:BQ97" ca="1" si="214">IFERROR(1-0.17*(COS(RADIANS(BP69-30)))+0.24*COS(RADIANS(2*BP69))+0.32*COS(RADIANS(3*BP69+6))-0.2*COS(RADIANS(4*BP69-63)),"")</f>
        <v>0.59781139988819576</v>
      </c>
      <c r="BR69" s="112">
        <f t="shared" ref="BR69:BR97" ca="1" si="215">IFERROR(IF((BO69-BN69)&lt;=180,BO69-BN69,IF(AND(BO69-BN69&gt;180,BO69&lt;=BN69),BO69-BN69+360,BO69-BN69-360)),"")</f>
        <v>0</v>
      </c>
      <c r="BS69" s="112">
        <f t="shared" ref="BS69:BS97" ca="1" si="216">IFERROR(AG69-AM69,"")</f>
        <v>0</v>
      </c>
      <c r="BT69" s="112">
        <f t="shared" ref="BT69:BT97" ca="1" si="217">IFERROR(BL69-BK69,"")</f>
        <v>0</v>
      </c>
      <c r="BU69" s="112">
        <f t="shared" ref="BU69:BU97" ca="1" si="218">IFERROR(2*SQRT(BK69*BL69)*SIN(RADIANS(BR69/2)),"")</f>
        <v>0</v>
      </c>
      <c r="BV69" s="112">
        <f t="shared" ref="BV69:BV97" ca="1" si="219">IFERROR(1+(0.015*(BD69-50)^2)/SQRT(20+(BD69-50)^2),"")</f>
        <v>1.2769578150796366</v>
      </c>
      <c r="BW69" s="112">
        <f t="shared" ref="BW69:BW97" ca="1" si="220">IFERROR(1+0.045*BM69,"")</f>
        <v>1.0991861917646091</v>
      </c>
      <c r="BX69" s="112">
        <f t="shared" ref="BX69:BX97" ca="1" si="221">IFERROR(1+0.015*BM69*BQ69,"")</f>
        <v>1.0197648787161266</v>
      </c>
      <c r="BY69" s="112">
        <f t="shared" ref="BY69:BY97" ca="1" si="222">IFERROR(30*EXP(-1*((BP69-275)/25)^2),"")</f>
        <v>6.0791257570298714E-24</v>
      </c>
      <c r="BZ69" s="112">
        <f t="shared" ref="BZ69:BZ97" ca="1" si="223">IFERROR(2*SQRT(BM69^7/(BM69^7+25^7)),"")</f>
        <v>4.0698219883022937E-4</v>
      </c>
      <c r="CA69" s="112">
        <f t="shared" ref="CA69:CA97" ca="1" si="224">IFERROR(-SIN(2*RADIANS(BY69))*BZ69,"")</f>
        <v>-8.6362241288525985E-29</v>
      </c>
      <c r="CB69" s="112">
        <v>1</v>
      </c>
      <c r="CC69" s="112">
        <v>1</v>
      </c>
      <c r="CD69" s="112">
        <v>1</v>
      </c>
      <c r="CE69" s="112">
        <v>1</v>
      </c>
      <c r="CF69" s="112">
        <f t="shared" ref="CF69:CF97" ca="1" si="225">IFERROR(1+0.045*AJ69,"")</f>
        <v>1.0990828062783851</v>
      </c>
      <c r="CG69" s="112">
        <f t="shared" ref="CG69:CG97" ca="1" si="226">IFERROR(1+0.015*AJ69,"")</f>
        <v>1.0330276020927951</v>
      </c>
      <c r="CH69" s="255"/>
      <c r="CI69" s="150" t="str">
        <f t="shared" ca="1" si="178"/>
        <v>C25M19Y19K0</v>
      </c>
      <c r="CJ69" s="125">
        <f t="shared" ref="CJ69:CJ97" ca="1" si="227">IFERROR(AS69,"")</f>
        <v>0</v>
      </c>
      <c r="CK69" s="125">
        <f t="shared" ref="CK69:CK97" ca="1" si="228">IFERROR(AV69,"")</f>
        <v>0</v>
      </c>
      <c r="CL69" s="125">
        <f t="shared" ref="CL69:CL97" ca="1" si="229">IFERROR(AW69,"")</f>
        <v>0</v>
      </c>
      <c r="CM69" s="112">
        <f t="shared" ca="1" si="179"/>
        <v>0</v>
      </c>
      <c r="CN69" s="112">
        <f t="shared" ref="CN69:CN97" ca="1" si="230">IFERROR(SQRT((BS69/(CB69*BV69))^2+(BT69/(CC69*BW69))^2+(BU69/(CD69*BX69))^2+CA69*(BT69/(CC69*BW69))*(BU69/(CD69*BX69))),"")</f>
        <v>0</v>
      </c>
      <c r="CO69" s="112">
        <f t="shared" ref="CO69:CO97" ca="1" si="231">IFERROR(SQRT(AS69^2+(AV69/CF69)^2+(AW69/CG69)^2),"")</f>
        <v>0</v>
      </c>
      <c r="CP69" s="112">
        <f t="shared" ref="CP69:CP97" ca="1" si="232">IFERROR(SQRT(AS69^2+AT69^2+AU69^2),"")</f>
        <v>0</v>
      </c>
      <c r="CQ69" s="112" t="str">
        <f t="shared" ref="CQ69:CQ97" ca="1" si="233">IFERROR(IF(OR(CI69="C100M0Y0K0",CI69="C0M100Y0K0",CI69="C0M0Y100K0"),CI69,""),"")</f>
        <v/>
      </c>
      <c r="CR69" s="112" t="str">
        <f t="shared" ref="CR69:CR97" ca="1" si="234">IFERROR(IF(CQ69="","",CP69),"")</f>
        <v/>
      </c>
      <c r="CS69" s="112" t="str">
        <f t="shared" ref="CS69:CS97" ca="1" si="235">IFERROR(IF(CQ69="","",CL69),"")</f>
        <v/>
      </c>
      <c r="CT69" s="112" t="str">
        <f t="shared" ref="CT69:CT97" ca="1" si="236">IFERROR(IF(OR(CI69="C100M100Y0K0",CI69="C0M100Y100K0",CI69="C100M0Y100K0"),CI69,""),"")</f>
        <v/>
      </c>
      <c r="CU69" s="112" t="str">
        <f t="shared" ref="CU69:CU97" ca="1" si="237">IFERROR(IF(CT69="","",CP69),"")</f>
        <v/>
      </c>
      <c r="CV69" s="112" t="str">
        <f t="shared" ref="CV69:CV97" ca="1" si="238">IFERROR(IF(CT69="","",CL69),"")</f>
        <v/>
      </c>
      <c r="CW69" s="112" t="str">
        <f t="shared" ca="1" si="162"/>
        <v>C25M19Y19K0</v>
      </c>
      <c r="CX69" s="112">
        <f t="shared" ref="CX69:CX97" ca="1" si="239">IFERROR(IF(CW69="","",CP69),"")</f>
        <v>0</v>
      </c>
      <c r="CY69" s="112">
        <f t="shared" ca="1" si="165"/>
        <v>0</v>
      </c>
      <c r="CZ69" s="112">
        <f t="shared" ref="CZ69:CZ97" ca="1" si="240">IFERROR(IF(CW69="","",CL69),"")</f>
        <v>0</v>
      </c>
      <c r="DA69" s="112">
        <f ca="1">IFERROR(IF(CW69="","",((($AN69-$AH69)^2+($AO69-$AI69)^2)^0.5)*(1-MAX(0,($DG69-50)/50*0.75))),((($AN69-$AH69)^2+($AO69-$AI69)^2)^0.5)*(1-MAX(0,($DJ69-50)/50*0.75)))</f>
        <v>0</v>
      </c>
      <c r="DB69" s="112" t="str">
        <f t="shared" ca="1" si="56"/>
        <v>C25M19Y19K0</v>
      </c>
      <c r="DC69" s="112">
        <f t="shared" ca="1" si="163"/>
        <v>0</v>
      </c>
      <c r="DD69" s="112">
        <f t="shared" ca="1" si="153"/>
        <v>0</v>
      </c>
      <c r="DE69" s="112">
        <f t="shared" ca="1" si="164"/>
        <v>0</v>
      </c>
      <c r="DF69" s="112">
        <f t="shared" ca="1" si="60"/>
        <v>0</v>
      </c>
      <c r="DG69" s="125">
        <f t="shared" ca="1" si="180"/>
        <v>25</v>
      </c>
      <c r="DH69" s="125">
        <f t="shared" ca="1" si="181"/>
        <v>18.878</v>
      </c>
      <c r="DI69" s="125">
        <f t="shared" ca="1" si="182"/>
        <v>18.878</v>
      </c>
      <c r="DJ69" s="125" t="str">
        <f t="shared" ca="1" si="183"/>
        <v>-</v>
      </c>
      <c r="DK69" s="112">
        <f t="shared" ca="1" si="184"/>
        <v>0.37923650662839897</v>
      </c>
      <c r="DL69" s="112">
        <f t="shared" ca="1" si="185"/>
        <v>0.39302745312500009</v>
      </c>
      <c r="DM69" s="112">
        <f t="shared" ca="1" si="186"/>
        <v>0.30982061371803754</v>
      </c>
      <c r="DN69" s="112">
        <f t="shared" si="187"/>
        <v>0.37923650662839897</v>
      </c>
      <c r="DO69" s="112">
        <f t="shared" si="188"/>
        <v>0.39302745312500009</v>
      </c>
      <c r="DP69" s="112">
        <f t="shared" si="189"/>
        <v>0.30982061371803754</v>
      </c>
      <c r="DQ69" s="112">
        <f t="shared" ca="1" si="79"/>
        <v>68.97</v>
      </c>
      <c r="DR69" s="112">
        <f t="shared" ca="1" si="67"/>
        <v>0.09</v>
      </c>
      <c r="DS69" s="112">
        <f t="shared" ca="1" si="68"/>
        <v>2.2000000000000002</v>
      </c>
      <c r="DT69" s="112">
        <f t="shared" ref="DT69:DT97" si="241">IFERROR(AM69,"")</f>
        <v>68.97</v>
      </c>
      <c r="DU69" s="112">
        <f t="shared" ref="DU69:DU97" si="242">IFERROR(AN69,"")</f>
        <v>0.09</v>
      </c>
      <c r="DV69" s="112">
        <f t="shared" ref="DV69:DV97" si="243">IFERROR(AO69,"")</f>
        <v>2.2000000000000002</v>
      </c>
      <c r="DW69" s="260"/>
      <c r="DX69" s="168"/>
      <c r="DY69" s="168"/>
    </row>
    <row r="70" spans="1:260" s="151" customFormat="1" ht="14" customHeight="1">
      <c r="A70" s="158"/>
      <c r="B70" s="153">
        <f t="shared" ca="1" si="166"/>
        <v>100</v>
      </c>
      <c r="C70" s="154" t="str">
        <f t="shared" ca="1" si="167"/>
        <v>-</v>
      </c>
      <c r="D70" s="155">
        <f t="shared" ca="1" si="168"/>
        <v>100</v>
      </c>
      <c r="E70" s="156" t="str">
        <f t="shared" ca="1" si="169"/>
        <v>-</v>
      </c>
      <c r="F70" s="184"/>
      <c r="G70" s="195"/>
      <c r="H70" s="239">
        <v>51</v>
      </c>
      <c r="I70" s="240">
        <v>-44</v>
      </c>
      <c r="J70" s="241">
        <v>19</v>
      </c>
      <c r="K70" s="181"/>
      <c r="L70" s="204">
        <f t="shared" ca="1" si="170"/>
        <v>51</v>
      </c>
      <c r="M70" s="95">
        <f t="shared" ca="1" si="171"/>
        <v>-44</v>
      </c>
      <c r="N70" s="205">
        <f t="shared" ca="1" si="172"/>
        <v>19</v>
      </c>
      <c r="O70" s="21"/>
      <c r="P70" s="157">
        <f t="shared" ca="1" si="173"/>
        <v>0</v>
      </c>
      <c r="Q70" s="215"/>
      <c r="R70" s="289">
        <f t="shared" ca="1" si="174"/>
        <v>0</v>
      </c>
      <c r="S70" s="290"/>
      <c r="T70" s="148"/>
      <c r="U70" s="291">
        <f t="shared" ca="1" si="175"/>
        <v>0</v>
      </c>
      <c r="V70" s="292"/>
      <c r="W70" s="23"/>
      <c r="X70" s="291">
        <f t="shared" ca="1" si="176"/>
        <v>0</v>
      </c>
      <c r="Y70" s="292"/>
      <c r="Z70" s="215"/>
      <c r="AA70" s="215"/>
      <c r="AB70" s="215"/>
      <c r="AC70" s="94"/>
      <c r="AD70" s="94"/>
      <c r="AE70" s="149"/>
      <c r="AF70" s="149"/>
      <c r="AG70" s="109">
        <f t="shared" ca="1" si="104"/>
        <v>46.65</v>
      </c>
      <c r="AH70" s="109">
        <f t="shared" ca="1" si="105"/>
        <v>20</v>
      </c>
      <c r="AI70" s="109">
        <f t="shared" ca="1" si="106"/>
        <v>11.62</v>
      </c>
      <c r="AJ70" s="109">
        <f t="shared" ca="1" si="190"/>
        <v>23.130594458422379</v>
      </c>
      <c r="AK70" s="113">
        <f t="shared" ca="1" si="191"/>
        <v>30.156587770220305</v>
      </c>
      <c r="AL70" s="159"/>
      <c r="AM70" s="112">
        <f t="shared" si="109"/>
        <v>46.65</v>
      </c>
      <c r="AN70" s="112">
        <f t="shared" si="110"/>
        <v>20</v>
      </c>
      <c r="AO70" s="112">
        <f t="shared" si="111"/>
        <v>11.62</v>
      </c>
      <c r="AP70" s="113">
        <f t="shared" si="192"/>
        <v>23.130594458422379</v>
      </c>
      <c r="AQ70" s="112">
        <f t="shared" si="70"/>
        <v>30.156587770220305</v>
      </c>
      <c r="AR70" s="255"/>
      <c r="AS70" s="112">
        <f t="shared" ca="1" si="193"/>
        <v>0</v>
      </c>
      <c r="AT70" s="112">
        <f t="shared" ca="1" si="194"/>
        <v>0</v>
      </c>
      <c r="AU70" s="112">
        <f t="shared" ca="1" si="195"/>
        <v>0</v>
      </c>
      <c r="AV70" s="112">
        <f t="shared" ca="1" si="196"/>
        <v>0</v>
      </c>
      <c r="AW70" s="112">
        <f t="shared" ca="1" si="83"/>
        <v>0</v>
      </c>
      <c r="AX70" s="112">
        <f t="shared" ca="1" si="177"/>
        <v>0</v>
      </c>
      <c r="AY70" s="112">
        <f t="shared" si="197"/>
        <v>1.0483232307167076</v>
      </c>
      <c r="AZ70" s="112">
        <f t="shared" si="198"/>
        <v>1.7705554175848013</v>
      </c>
      <c r="BA70" s="112">
        <f t="shared" si="199"/>
        <v>0.937711691272479</v>
      </c>
      <c r="BB70" s="112">
        <f t="shared" si="200"/>
        <v>0.52805590903163502</v>
      </c>
      <c r="BC70" s="112">
        <f t="shared" si="201"/>
        <v>0.99669766600029075</v>
      </c>
      <c r="BD70" s="112">
        <f t="shared" ca="1" si="202"/>
        <v>46.65</v>
      </c>
      <c r="BE70" s="112">
        <f t="shared" si="203"/>
        <v>23.130594458422379</v>
      </c>
      <c r="BF70" s="112">
        <f t="shared" ca="1" si="204"/>
        <v>23.130594458422379</v>
      </c>
      <c r="BG70" s="112">
        <f t="shared" ca="1" si="205"/>
        <v>23.130594458422379</v>
      </c>
      <c r="BH70" s="112">
        <f t="shared" ca="1" si="206"/>
        <v>0.1969946992932391</v>
      </c>
      <c r="BI70" s="112">
        <f t="shared" ca="1" si="207"/>
        <v>23.939893985864778</v>
      </c>
      <c r="BJ70" s="112">
        <f t="shared" ca="1" si="208"/>
        <v>23.939893985864778</v>
      </c>
      <c r="BK70" s="112">
        <f t="shared" ca="1" si="209"/>
        <v>26.610954963218525</v>
      </c>
      <c r="BL70" s="112">
        <f t="shared" ca="1" si="210"/>
        <v>26.610954963218525</v>
      </c>
      <c r="BM70" s="112">
        <f t="shared" ca="1" si="211"/>
        <v>26.610954963218525</v>
      </c>
      <c r="BN70" s="112">
        <f t="shared" ca="1" si="29"/>
        <v>25.89111395037888</v>
      </c>
      <c r="BO70" s="112">
        <f t="shared" ca="1" si="212"/>
        <v>25.89111395037888</v>
      </c>
      <c r="BP70" s="112">
        <f t="shared" ca="1" si="213"/>
        <v>25.89111395037888</v>
      </c>
      <c r="BQ70" s="112">
        <f t="shared" ca="1" si="214"/>
        <v>0.86224145202858538</v>
      </c>
      <c r="BR70" s="112">
        <f t="shared" ca="1" si="215"/>
        <v>0</v>
      </c>
      <c r="BS70" s="112">
        <f t="shared" ca="1" si="216"/>
        <v>0</v>
      </c>
      <c r="BT70" s="112">
        <f t="shared" ca="1" si="217"/>
        <v>0</v>
      </c>
      <c r="BU70" s="112">
        <f t="shared" ca="1" si="218"/>
        <v>0</v>
      </c>
      <c r="BV70" s="112">
        <f t="shared" ca="1" si="219"/>
        <v>1.0301263859803391</v>
      </c>
      <c r="BW70" s="112">
        <f t="shared" ca="1" si="220"/>
        <v>2.1974929733448336</v>
      </c>
      <c r="BX70" s="112">
        <f t="shared" ca="1" si="221"/>
        <v>1.3441760267102925</v>
      </c>
      <c r="BY70" s="112">
        <f t="shared" ca="1" si="222"/>
        <v>2.2736623767041868E-42</v>
      </c>
      <c r="BZ70" s="112">
        <f t="shared" ca="1" si="223"/>
        <v>1.5589418998810063</v>
      </c>
      <c r="CA70" s="112">
        <f t="shared" ca="1" si="224"/>
        <v>-1.2372665405199254E-43</v>
      </c>
      <c r="CB70" s="112">
        <v>1</v>
      </c>
      <c r="CC70" s="112">
        <v>1</v>
      </c>
      <c r="CD70" s="112">
        <v>1</v>
      </c>
      <c r="CE70" s="112">
        <v>1</v>
      </c>
      <c r="CF70" s="112">
        <f t="shared" ca="1" si="225"/>
        <v>2.0408767506290069</v>
      </c>
      <c r="CG70" s="112">
        <f t="shared" ca="1" si="226"/>
        <v>1.3469589168763356</v>
      </c>
      <c r="CH70" s="255"/>
      <c r="CI70" s="150" t="str">
        <f t="shared" ca="1" si="178"/>
        <v>C40M70Y70K0</v>
      </c>
      <c r="CJ70" s="125">
        <f t="shared" ca="1" si="227"/>
        <v>0</v>
      </c>
      <c r="CK70" s="125">
        <f t="shared" ca="1" si="228"/>
        <v>0</v>
      </c>
      <c r="CL70" s="125">
        <f t="shared" ca="1" si="229"/>
        <v>0</v>
      </c>
      <c r="CM70" s="112">
        <f t="shared" ca="1" si="179"/>
        <v>0</v>
      </c>
      <c r="CN70" s="112">
        <f t="shared" ca="1" si="230"/>
        <v>0</v>
      </c>
      <c r="CO70" s="112">
        <f t="shared" ca="1" si="231"/>
        <v>0</v>
      </c>
      <c r="CP70" s="112">
        <f t="shared" ca="1" si="232"/>
        <v>0</v>
      </c>
      <c r="CQ70" s="112" t="str">
        <f t="shared" ca="1" si="233"/>
        <v/>
      </c>
      <c r="CR70" s="112" t="str">
        <f t="shared" ca="1" si="234"/>
        <v/>
      </c>
      <c r="CS70" s="112" t="str">
        <f t="shared" ca="1" si="235"/>
        <v/>
      </c>
      <c r="CT70" s="112" t="str">
        <f t="shared" ca="1" si="236"/>
        <v/>
      </c>
      <c r="CU70" s="112" t="str">
        <f t="shared" ca="1" si="237"/>
        <v/>
      </c>
      <c r="CV70" s="112" t="str">
        <f t="shared" ca="1" si="238"/>
        <v/>
      </c>
      <c r="CW70" s="112" t="str">
        <f t="shared" ca="1" si="162"/>
        <v/>
      </c>
      <c r="CX70" s="112" t="str">
        <f t="shared" ca="1" si="239"/>
        <v/>
      </c>
      <c r="CY70" s="112" t="str">
        <f t="shared" ca="1" si="165"/>
        <v/>
      </c>
      <c r="CZ70" s="112" t="str">
        <f t="shared" ca="1" si="240"/>
        <v/>
      </c>
      <c r="DA70" s="112" t="str">
        <f t="shared" ca="1" si="55"/>
        <v/>
      </c>
      <c r="DB70" s="112" t="str">
        <f t="shared" ca="1" si="56"/>
        <v/>
      </c>
      <c r="DC70" s="112" t="str">
        <f t="shared" ca="1" si="163"/>
        <v/>
      </c>
      <c r="DD70" s="112" t="str">
        <f t="shared" ca="1" si="153"/>
        <v/>
      </c>
      <c r="DE70" s="112" t="str">
        <f t="shared" ca="1" si="164"/>
        <v/>
      </c>
      <c r="DF70" s="112" t="str">
        <f t="shared" ca="1" si="60"/>
        <v/>
      </c>
      <c r="DG70" s="125">
        <f t="shared" ca="1" si="180"/>
        <v>40</v>
      </c>
      <c r="DH70" s="125">
        <f t="shared" ca="1" si="181"/>
        <v>70</v>
      </c>
      <c r="DI70" s="125">
        <f t="shared" ca="1" si="182"/>
        <v>70</v>
      </c>
      <c r="DJ70" s="125" t="str">
        <f t="shared" ca="1" si="183"/>
        <v>-</v>
      </c>
      <c r="DK70" s="112">
        <f t="shared" ca="1" si="184"/>
        <v>0.1882108882687212</v>
      </c>
      <c r="DL70" s="112">
        <f t="shared" ca="1" si="185"/>
        <v>0.15753942583298314</v>
      </c>
      <c r="DM70" s="112">
        <f t="shared" ca="1" si="186"/>
        <v>9.2364510710779751E-2</v>
      </c>
      <c r="DN70" s="112">
        <f t="shared" si="187"/>
        <v>0.1882108882687212</v>
      </c>
      <c r="DO70" s="112">
        <f t="shared" si="188"/>
        <v>0.15753942583298314</v>
      </c>
      <c r="DP70" s="112">
        <f t="shared" si="189"/>
        <v>9.2364510710779751E-2</v>
      </c>
      <c r="DQ70" s="112">
        <f t="shared" ca="1" si="79"/>
        <v>46.65</v>
      </c>
      <c r="DR70" s="112">
        <f t="shared" ca="1" si="67"/>
        <v>20</v>
      </c>
      <c r="DS70" s="112">
        <f t="shared" ca="1" si="68"/>
        <v>11.62</v>
      </c>
      <c r="DT70" s="112">
        <f t="shared" si="241"/>
        <v>46.65</v>
      </c>
      <c r="DU70" s="112">
        <f t="shared" si="242"/>
        <v>20</v>
      </c>
      <c r="DV70" s="112">
        <f t="shared" si="243"/>
        <v>11.62</v>
      </c>
      <c r="DW70" s="260"/>
      <c r="DX70" s="168"/>
      <c r="DY70" s="168"/>
    </row>
    <row r="71" spans="1:260" s="151" customFormat="1" ht="14" customHeight="1">
      <c r="A71" s="158"/>
      <c r="B71" s="153" t="str">
        <f t="shared" ca="1" si="166"/>
        <v>-</v>
      </c>
      <c r="C71" s="154">
        <f t="shared" ca="1" si="167"/>
        <v>70</v>
      </c>
      <c r="D71" s="155">
        <f t="shared" ca="1" si="168"/>
        <v>40</v>
      </c>
      <c r="E71" s="156">
        <f t="shared" ca="1" si="169"/>
        <v>40</v>
      </c>
      <c r="F71" s="184"/>
      <c r="G71" s="195"/>
      <c r="H71" s="239">
        <v>44.39</v>
      </c>
      <c r="I71" s="240">
        <v>26.03</v>
      </c>
      <c r="J71" s="241">
        <v>9.07</v>
      </c>
      <c r="K71" s="181"/>
      <c r="L71" s="204">
        <f t="shared" ca="1" si="170"/>
        <v>44.39</v>
      </c>
      <c r="M71" s="95">
        <f t="shared" ca="1" si="171"/>
        <v>26.03</v>
      </c>
      <c r="N71" s="205">
        <f t="shared" ca="1" si="172"/>
        <v>9.07</v>
      </c>
      <c r="O71" s="21"/>
      <c r="P71" s="157">
        <f t="shared" ca="1" si="173"/>
        <v>0</v>
      </c>
      <c r="Q71" s="215"/>
      <c r="R71" s="289">
        <f t="shared" ca="1" si="174"/>
        <v>0</v>
      </c>
      <c r="S71" s="290"/>
      <c r="T71" s="148"/>
      <c r="U71" s="291">
        <f t="shared" ca="1" si="175"/>
        <v>0</v>
      </c>
      <c r="V71" s="292"/>
      <c r="W71" s="23"/>
      <c r="X71" s="291">
        <f t="shared" ca="1" si="176"/>
        <v>0</v>
      </c>
      <c r="Y71" s="292"/>
      <c r="Z71" s="215"/>
      <c r="AA71" s="215"/>
      <c r="AB71" s="215"/>
      <c r="AC71" s="94"/>
      <c r="AD71" s="94"/>
      <c r="AE71" s="149"/>
      <c r="AF71" s="149"/>
      <c r="AG71" s="109">
        <f t="shared" ca="1" si="104"/>
        <v>56.19</v>
      </c>
      <c r="AH71" s="109">
        <f t="shared" ca="1" si="105"/>
        <v>0.04</v>
      </c>
      <c r="AI71" s="109">
        <f t="shared" ca="1" si="106"/>
        <v>1.35</v>
      </c>
      <c r="AJ71" s="109">
        <f t="shared" ca="1" si="190"/>
        <v>1.3505924625881784</v>
      </c>
      <c r="AK71" s="113">
        <f t="shared" ca="1" si="191"/>
        <v>88.302843810399722</v>
      </c>
      <c r="AL71" s="159"/>
      <c r="AM71" s="112">
        <f t="shared" si="109"/>
        <v>56.19</v>
      </c>
      <c r="AN71" s="112">
        <f t="shared" si="110"/>
        <v>0.04</v>
      </c>
      <c r="AO71" s="112">
        <f t="shared" si="111"/>
        <v>1.35</v>
      </c>
      <c r="AP71" s="113">
        <f t="shared" si="192"/>
        <v>1.3505924625881784</v>
      </c>
      <c r="AQ71" s="112">
        <f t="shared" si="70"/>
        <v>88.302843810399722</v>
      </c>
      <c r="AR71" s="255"/>
      <c r="AS71" s="112">
        <f t="shared" ca="1" si="193"/>
        <v>0</v>
      </c>
      <c r="AT71" s="112">
        <f t="shared" ca="1" si="194"/>
        <v>0</v>
      </c>
      <c r="AU71" s="112">
        <f t="shared" ca="1" si="195"/>
        <v>0</v>
      </c>
      <c r="AV71" s="112">
        <f t="shared" ca="1" si="196"/>
        <v>0</v>
      </c>
      <c r="AW71" s="112">
        <f t="shared" ca="1" si="83"/>
        <v>0</v>
      </c>
      <c r="AX71" s="112">
        <f t="shared" ca="1" si="177"/>
        <v>0</v>
      </c>
      <c r="AY71" s="112">
        <f t="shared" si="197"/>
        <v>1.155958932669128</v>
      </c>
      <c r="AZ71" s="112">
        <f t="shared" si="198"/>
        <v>0.72266975731108662</v>
      </c>
      <c r="BA71" s="112">
        <f t="shared" si="199"/>
        <v>0.70996787991144783</v>
      </c>
      <c r="BB71" s="112">
        <f t="shared" si="200"/>
        <v>0.57962572066521867</v>
      </c>
      <c r="BC71" s="112">
        <f t="shared" si="201"/>
        <v>4.1811129535567634E-2</v>
      </c>
      <c r="BD71" s="112">
        <f t="shared" ca="1" si="202"/>
        <v>56.19</v>
      </c>
      <c r="BE71" s="112">
        <f t="shared" si="203"/>
        <v>1.3505924625881784</v>
      </c>
      <c r="BF71" s="112">
        <f t="shared" ca="1" si="204"/>
        <v>1.3505924625881784</v>
      </c>
      <c r="BG71" s="112">
        <f t="shared" ca="1" si="205"/>
        <v>1.3505924625881784</v>
      </c>
      <c r="BH71" s="112">
        <f t="shared" ca="1" si="206"/>
        <v>0.49998167621870637</v>
      </c>
      <c r="BI71" s="112">
        <f t="shared" ca="1" si="207"/>
        <v>5.9999267048748257E-2</v>
      </c>
      <c r="BJ71" s="112">
        <f t="shared" ca="1" si="208"/>
        <v>5.9999267048748257E-2</v>
      </c>
      <c r="BK71" s="112">
        <f t="shared" ca="1" si="209"/>
        <v>1.3513326430033381</v>
      </c>
      <c r="BL71" s="112">
        <f t="shared" ca="1" si="210"/>
        <v>1.3513326430033381</v>
      </c>
      <c r="BM71" s="112">
        <f t="shared" ca="1" si="211"/>
        <v>1.3513326430033381</v>
      </c>
      <c r="BN71" s="112">
        <f t="shared" ca="1" si="29"/>
        <v>87.455226666279302</v>
      </c>
      <c r="BO71" s="112">
        <f t="shared" ca="1" si="212"/>
        <v>87.455226666279302</v>
      </c>
      <c r="BP71" s="112">
        <f t="shared" ca="1" si="213"/>
        <v>87.455226666279302</v>
      </c>
      <c r="BQ71" s="112">
        <f t="shared" ca="1" si="214"/>
        <v>0.60249056397602452</v>
      </c>
      <c r="BR71" s="112">
        <f t="shared" ca="1" si="215"/>
        <v>0</v>
      </c>
      <c r="BS71" s="112">
        <f t="shared" ca="1" si="216"/>
        <v>0</v>
      </c>
      <c r="BT71" s="112">
        <f t="shared" ca="1" si="217"/>
        <v>0</v>
      </c>
      <c r="BU71" s="112">
        <f t="shared" ca="1" si="218"/>
        <v>0</v>
      </c>
      <c r="BV71" s="112">
        <f t="shared" ca="1" si="219"/>
        <v>1.0752624446961172</v>
      </c>
      <c r="BW71" s="112">
        <f t="shared" ca="1" si="220"/>
        <v>1.0608099689351502</v>
      </c>
      <c r="BX71" s="112">
        <f t="shared" ca="1" si="221"/>
        <v>1.0122124774930343</v>
      </c>
      <c r="BY71" s="112">
        <f t="shared" ca="1" si="222"/>
        <v>1.0873975937178782E-23</v>
      </c>
      <c r="BZ71" s="112">
        <f t="shared" ca="1" si="223"/>
        <v>7.3435812150982822E-5</v>
      </c>
      <c r="CA71" s="112">
        <f t="shared" ca="1" si="224"/>
        <v>-2.7874278386408487E-29</v>
      </c>
      <c r="CB71" s="112">
        <v>1</v>
      </c>
      <c r="CC71" s="112">
        <v>1</v>
      </c>
      <c r="CD71" s="112">
        <v>1</v>
      </c>
      <c r="CE71" s="112">
        <v>1</v>
      </c>
      <c r="CF71" s="112">
        <f t="shared" ca="1" si="225"/>
        <v>1.0607766608164679</v>
      </c>
      <c r="CG71" s="112">
        <f t="shared" ca="1" si="226"/>
        <v>1.0202588869388227</v>
      </c>
      <c r="CH71" s="255"/>
      <c r="CI71" s="150" t="str">
        <f t="shared" ca="1" si="178"/>
        <v>C0M0Y0K50</v>
      </c>
      <c r="CJ71" s="125">
        <f t="shared" ca="1" si="227"/>
        <v>0</v>
      </c>
      <c r="CK71" s="125">
        <f t="shared" ca="1" si="228"/>
        <v>0</v>
      </c>
      <c r="CL71" s="125">
        <f t="shared" ca="1" si="229"/>
        <v>0</v>
      </c>
      <c r="CM71" s="112">
        <f t="shared" ca="1" si="179"/>
        <v>0</v>
      </c>
      <c r="CN71" s="112">
        <f t="shared" ca="1" si="230"/>
        <v>0</v>
      </c>
      <c r="CO71" s="112">
        <f t="shared" ca="1" si="231"/>
        <v>0</v>
      </c>
      <c r="CP71" s="112">
        <f t="shared" ca="1" si="232"/>
        <v>0</v>
      </c>
      <c r="CQ71" s="112" t="str">
        <f t="shared" ca="1" si="233"/>
        <v/>
      </c>
      <c r="CR71" s="112" t="str">
        <f t="shared" ca="1" si="234"/>
        <v/>
      </c>
      <c r="CS71" s="112" t="str">
        <f t="shared" ca="1" si="235"/>
        <v/>
      </c>
      <c r="CT71" s="112" t="str">
        <f t="shared" ca="1" si="236"/>
        <v/>
      </c>
      <c r="CU71" s="112" t="str">
        <f t="shared" ca="1" si="237"/>
        <v/>
      </c>
      <c r="CV71" s="112" t="str">
        <f t="shared" ca="1" si="238"/>
        <v/>
      </c>
      <c r="CW71" s="112" t="str">
        <f t="shared" ca="1" si="162"/>
        <v/>
      </c>
      <c r="CX71" s="112" t="str">
        <f t="shared" ca="1" si="239"/>
        <v/>
      </c>
      <c r="CY71" s="112" t="str">
        <f t="shared" ca="1" si="165"/>
        <v/>
      </c>
      <c r="CZ71" s="112" t="str">
        <f t="shared" ca="1" si="240"/>
        <v/>
      </c>
      <c r="DA71" s="112" t="str">
        <f t="shared" ca="1" si="55"/>
        <v/>
      </c>
      <c r="DB71" s="112" t="str">
        <f t="shared" ca="1" si="56"/>
        <v>C0M0Y0K50</v>
      </c>
      <c r="DC71" s="112">
        <f t="shared" ca="1" si="163"/>
        <v>0</v>
      </c>
      <c r="DD71" s="112">
        <f t="shared" ca="1" si="153"/>
        <v>0</v>
      </c>
      <c r="DE71" s="112">
        <f t="shared" ca="1" si="164"/>
        <v>0</v>
      </c>
      <c r="DF71" s="112">
        <f t="shared" ca="1" si="60"/>
        <v>0</v>
      </c>
      <c r="DG71" s="125" t="str">
        <f t="shared" ca="1" si="180"/>
        <v>-</v>
      </c>
      <c r="DH71" s="125" t="str">
        <f t="shared" ca="1" si="181"/>
        <v>-</v>
      </c>
      <c r="DI71" s="125" t="str">
        <f t="shared" ca="1" si="182"/>
        <v>-</v>
      </c>
      <c r="DJ71" s="125">
        <f t="shared" ca="1" si="183"/>
        <v>50</v>
      </c>
      <c r="DK71" s="112">
        <f t="shared" ca="1" si="184"/>
        <v>0.23248329879374199</v>
      </c>
      <c r="DL71" s="112">
        <f t="shared" ca="1" si="185"/>
        <v>0.24102226186690209</v>
      </c>
      <c r="DM71" s="112">
        <f t="shared" ca="1" si="186"/>
        <v>0.19241977330658308</v>
      </c>
      <c r="DN71" s="112">
        <f t="shared" si="187"/>
        <v>0.23248329879374199</v>
      </c>
      <c r="DO71" s="112">
        <f t="shared" si="188"/>
        <v>0.24102226186690209</v>
      </c>
      <c r="DP71" s="112">
        <f t="shared" si="189"/>
        <v>0.19241977330658308</v>
      </c>
      <c r="DQ71" s="112">
        <f t="shared" ca="1" si="79"/>
        <v>56.19</v>
      </c>
      <c r="DR71" s="112">
        <f t="shared" ca="1" si="67"/>
        <v>0.04</v>
      </c>
      <c r="DS71" s="112">
        <f t="shared" ca="1" si="68"/>
        <v>1.35</v>
      </c>
      <c r="DT71" s="112">
        <f t="shared" si="241"/>
        <v>56.19</v>
      </c>
      <c r="DU71" s="112">
        <f t="shared" si="242"/>
        <v>0.04</v>
      </c>
      <c r="DV71" s="112">
        <f t="shared" si="243"/>
        <v>1.35</v>
      </c>
      <c r="DW71" s="260"/>
      <c r="DX71" s="168"/>
      <c r="DY71" s="168"/>
    </row>
    <row r="72" spans="1:260" s="151" customFormat="1" ht="14" customHeight="1">
      <c r="A72" s="158"/>
      <c r="B72" s="153" t="str">
        <f t="shared" ca="1" si="166"/>
        <v>-</v>
      </c>
      <c r="C72" s="154" t="str">
        <f t="shared" ca="1" si="167"/>
        <v>-</v>
      </c>
      <c r="D72" s="155">
        <f t="shared" ca="1" si="168"/>
        <v>50</v>
      </c>
      <c r="E72" s="156" t="str">
        <f t="shared" ca="1" si="169"/>
        <v>-</v>
      </c>
      <c r="F72" s="184"/>
      <c r="G72" s="195"/>
      <c r="H72" s="239">
        <v>83.64</v>
      </c>
      <c r="I72" s="240">
        <v>-2.73</v>
      </c>
      <c r="J72" s="241">
        <v>40.340000000000003</v>
      </c>
      <c r="K72" s="181"/>
      <c r="L72" s="204">
        <f t="shared" ca="1" si="170"/>
        <v>83.64</v>
      </c>
      <c r="M72" s="95">
        <f t="shared" ca="1" si="171"/>
        <v>-2.73</v>
      </c>
      <c r="N72" s="205">
        <f t="shared" ca="1" si="172"/>
        <v>40.340000000000003</v>
      </c>
      <c r="O72" s="21"/>
      <c r="P72" s="157">
        <f t="shared" ca="1" si="173"/>
        <v>0</v>
      </c>
      <c r="Q72" s="215"/>
      <c r="R72" s="289">
        <f t="shared" ca="1" si="174"/>
        <v>0</v>
      </c>
      <c r="S72" s="290"/>
      <c r="T72" s="148"/>
      <c r="U72" s="291">
        <f t="shared" ca="1" si="175"/>
        <v>0</v>
      </c>
      <c r="V72" s="292"/>
      <c r="W72" s="23"/>
      <c r="X72" s="291">
        <f t="shared" ca="1" si="176"/>
        <v>0</v>
      </c>
      <c r="Y72" s="292"/>
      <c r="Z72" s="215"/>
      <c r="AA72" s="215"/>
      <c r="AB72" s="215"/>
      <c r="AC72" s="94"/>
      <c r="AD72" s="94"/>
      <c r="AE72" s="149"/>
      <c r="AF72" s="149"/>
      <c r="AG72" s="109">
        <f t="shared" ca="1" si="104"/>
        <v>54.06</v>
      </c>
      <c r="AH72" s="109">
        <f t="shared" ca="1" si="105"/>
        <v>-0.02</v>
      </c>
      <c r="AI72" s="109">
        <f t="shared" ca="1" si="106"/>
        <v>1.35</v>
      </c>
      <c r="AJ72" s="109">
        <f t="shared" ca="1" si="190"/>
        <v>1.350148140020198</v>
      </c>
      <c r="AK72" s="113">
        <f t="shared" ca="1" si="191"/>
        <v>90.848764271553577</v>
      </c>
      <c r="AL72" s="159"/>
      <c r="AM72" s="112">
        <f t="shared" si="109"/>
        <v>54.06</v>
      </c>
      <c r="AN72" s="112">
        <f t="shared" si="110"/>
        <v>-0.02</v>
      </c>
      <c r="AO72" s="112">
        <f t="shared" si="111"/>
        <v>1.35</v>
      </c>
      <c r="AP72" s="113">
        <f t="shared" si="192"/>
        <v>1.350148140020198</v>
      </c>
      <c r="AQ72" s="112">
        <f t="shared" si="70"/>
        <v>90.848764271553577</v>
      </c>
      <c r="AR72" s="255"/>
      <c r="AS72" s="112">
        <f t="shared" ca="1" si="193"/>
        <v>0</v>
      </c>
      <c r="AT72" s="112">
        <f t="shared" ca="1" si="194"/>
        <v>0</v>
      </c>
      <c r="AU72" s="112">
        <f t="shared" ca="1" si="195"/>
        <v>0</v>
      </c>
      <c r="AV72" s="112">
        <f t="shared" ca="1" si="196"/>
        <v>0</v>
      </c>
      <c r="AW72" s="112">
        <f t="shared" ca="1" si="83"/>
        <v>0</v>
      </c>
      <c r="AX72" s="112">
        <f t="shared" ca="1" si="177"/>
        <v>0</v>
      </c>
      <c r="AY72" s="112">
        <f t="shared" si="197"/>
        <v>1.1335354492648755</v>
      </c>
      <c r="AZ72" s="112">
        <f t="shared" si="198"/>
        <v>0.72264238646867474</v>
      </c>
      <c r="BA72" s="112">
        <f t="shared" si="199"/>
        <v>0.71039118116507882</v>
      </c>
      <c r="BB72" s="112">
        <f t="shared" si="200"/>
        <v>0.59425910284122241</v>
      </c>
      <c r="BC72" s="112">
        <f t="shared" si="201"/>
        <v>4.1783671758996832E-2</v>
      </c>
      <c r="BD72" s="112">
        <f t="shared" ca="1" si="202"/>
        <v>54.06</v>
      </c>
      <c r="BE72" s="112">
        <f t="shared" si="203"/>
        <v>1.350148140020198</v>
      </c>
      <c r="BF72" s="112">
        <f t="shared" ca="1" si="204"/>
        <v>1.350148140020198</v>
      </c>
      <c r="BG72" s="112">
        <f t="shared" ca="1" si="205"/>
        <v>1.350148140020198</v>
      </c>
      <c r="BH72" s="112">
        <f t="shared" ca="1" si="206"/>
        <v>0.4999816973088041</v>
      </c>
      <c r="BI72" s="112">
        <f t="shared" ca="1" si="207"/>
        <v>-2.999963394617608E-2</v>
      </c>
      <c r="BJ72" s="112">
        <f t="shared" ca="1" si="208"/>
        <v>-2.999963394617608E-2</v>
      </c>
      <c r="BK72" s="112">
        <f t="shared" ca="1" si="209"/>
        <v>1.3503332840587559</v>
      </c>
      <c r="BL72" s="112">
        <f t="shared" ca="1" si="210"/>
        <v>1.3503332840587559</v>
      </c>
      <c r="BM72" s="112">
        <f t="shared" ca="1" si="211"/>
        <v>1.3503332840587559</v>
      </c>
      <c r="BN72" s="112">
        <f t="shared" ca="1" si="29"/>
        <v>91.273014491918033</v>
      </c>
      <c r="BO72" s="112">
        <f t="shared" ca="1" si="212"/>
        <v>91.273014491918033</v>
      </c>
      <c r="BP72" s="112">
        <f t="shared" ca="1" si="213"/>
        <v>91.273014491918033</v>
      </c>
      <c r="BQ72" s="112">
        <f t="shared" ca="1" si="214"/>
        <v>0.62684431112162919</v>
      </c>
      <c r="BR72" s="112">
        <f t="shared" ca="1" si="215"/>
        <v>0</v>
      </c>
      <c r="BS72" s="112">
        <f t="shared" ca="1" si="216"/>
        <v>0</v>
      </c>
      <c r="BT72" s="112">
        <f t="shared" ca="1" si="217"/>
        <v>0</v>
      </c>
      <c r="BU72" s="112">
        <f t="shared" ca="1" si="218"/>
        <v>0</v>
      </c>
      <c r="BV72" s="112">
        <f t="shared" ca="1" si="219"/>
        <v>1.0409349706589175</v>
      </c>
      <c r="BW72" s="112">
        <f t="shared" ca="1" si="220"/>
        <v>1.0607649977826441</v>
      </c>
      <c r="BX72" s="112">
        <f t="shared" ca="1" si="221"/>
        <v>1.0126967310584563</v>
      </c>
      <c r="BY72" s="112">
        <f t="shared" ca="1" si="222"/>
        <v>1.050326534762995E-22</v>
      </c>
      <c r="BZ72" s="112">
        <f t="shared" ca="1" si="223"/>
        <v>7.3245908342465068E-5</v>
      </c>
      <c r="CA72" s="112">
        <f t="shared" ca="1" si="224"/>
        <v>-2.6854376272983039E-28</v>
      </c>
      <c r="CB72" s="112">
        <v>1</v>
      </c>
      <c r="CC72" s="112">
        <v>1</v>
      </c>
      <c r="CD72" s="112">
        <v>1</v>
      </c>
      <c r="CE72" s="112">
        <v>1</v>
      </c>
      <c r="CF72" s="112">
        <f t="shared" ca="1" si="225"/>
        <v>1.0607566663009089</v>
      </c>
      <c r="CG72" s="112">
        <f t="shared" ca="1" si="226"/>
        <v>1.020252222100303</v>
      </c>
      <c r="CH72" s="255"/>
      <c r="CI72" s="150" t="str">
        <f t="shared" ca="1" si="178"/>
        <v>C50M40Y40K0</v>
      </c>
      <c r="CJ72" s="125">
        <f t="shared" ca="1" si="227"/>
        <v>0</v>
      </c>
      <c r="CK72" s="125">
        <f t="shared" ca="1" si="228"/>
        <v>0</v>
      </c>
      <c r="CL72" s="125">
        <f t="shared" ca="1" si="229"/>
        <v>0</v>
      </c>
      <c r="CM72" s="112">
        <f t="shared" ca="1" si="179"/>
        <v>0</v>
      </c>
      <c r="CN72" s="112">
        <f t="shared" ca="1" si="230"/>
        <v>0</v>
      </c>
      <c r="CO72" s="112">
        <f t="shared" ca="1" si="231"/>
        <v>0</v>
      </c>
      <c r="CP72" s="112">
        <f t="shared" ca="1" si="232"/>
        <v>0</v>
      </c>
      <c r="CQ72" s="112" t="str">
        <f t="shared" ca="1" si="233"/>
        <v/>
      </c>
      <c r="CR72" s="112" t="str">
        <f t="shared" ca="1" si="234"/>
        <v/>
      </c>
      <c r="CS72" s="112" t="str">
        <f t="shared" ca="1" si="235"/>
        <v/>
      </c>
      <c r="CT72" s="112" t="str">
        <f t="shared" ca="1" si="236"/>
        <v/>
      </c>
      <c r="CU72" s="112" t="str">
        <f t="shared" ca="1" si="237"/>
        <v/>
      </c>
      <c r="CV72" s="112" t="str">
        <f t="shared" ca="1" si="238"/>
        <v/>
      </c>
      <c r="CW72" s="112" t="str">
        <f t="shared" ca="1" si="162"/>
        <v>C50M40Y40K0</v>
      </c>
      <c r="CX72" s="112">
        <f t="shared" ca="1" si="239"/>
        <v>0</v>
      </c>
      <c r="CY72" s="112">
        <f t="shared" ca="1" si="165"/>
        <v>0</v>
      </c>
      <c r="CZ72" s="112">
        <f t="shared" ca="1" si="240"/>
        <v>0</v>
      </c>
      <c r="DA72" s="112">
        <f t="shared" ca="1" si="55"/>
        <v>0</v>
      </c>
      <c r="DB72" s="112" t="str">
        <f t="shared" ca="1" si="56"/>
        <v>C50M40Y40K0</v>
      </c>
      <c r="DC72" s="112">
        <f t="shared" ca="1" si="163"/>
        <v>0</v>
      </c>
      <c r="DD72" s="112">
        <f t="shared" ca="1" si="153"/>
        <v>0</v>
      </c>
      <c r="DE72" s="112">
        <f ca="1">IFERROR(IF(DB72="","",(ABS(DC72)*(1-MAX(0,(DG72-50)/50*0.75)))),ABS(DC72)*(1-MAX(0,(DJ72-50)/50*0.75)))</f>
        <v>0</v>
      </c>
      <c r="DF72" s="112">
        <f t="shared" ca="1" si="60"/>
        <v>0</v>
      </c>
      <c r="DG72" s="125">
        <f t="shared" ca="1" si="180"/>
        <v>50</v>
      </c>
      <c r="DH72" s="125">
        <f t="shared" ca="1" si="181"/>
        <v>40</v>
      </c>
      <c r="DI72" s="125">
        <f t="shared" ca="1" si="182"/>
        <v>40</v>
      </c>
      <c r="DJ72" s="125" t="str">
        <f t="shared" ca="1" si="183"/>
        <v>-</v>
      </c>
      <c r="DK72" s="112">
        <f t="shared" ca="1" si="184"/>
        <v>0.21238178518143963</v>
      </c>
      <c r="DL72" s="112">
        <f t="shared" ca="1" si="185"/>
        <v>0.22031112656833005</v>
      </c>
      <c r="DM72" s="112">
        <f t="shared" ca="1" si="186"/>
        <v>0.17570922109798093</v>
      </c>
      <c r="DN72" s="112">
        <f t="shared" si="187"/>
        <v>0.21238178518143963</v>
      </c>
      <c r="DO72" s="112">
        <f t="shared" si="188"/>
        <v>0.22031112656833005</v>
      </c>
      <c r="DP72" s="112">
        <f t="shared" si="189"/>
        <v>0.17570922109798093</v>
      </c>
      <c r="DQ72" s="112">
        <f t="shared" ca="1" si="79"/>
        <v>54.06</v>
      </c>
      <c r="DR72" s="112">
        <f t="shared" ca="1" si="67"/>
        <v>-0.02</v>
      </c>
      <c r="DS72" s="112">
        <f t="shared" ca="1" si="68"/>
        <v>1.35</v>
      </c>
      <c r="DT72" s="112">
        <f t="shared" si="241"/>
        <v>54.06</v>
      </c>
      <c r="DU72" s="112">
        <f t="shared" si="242"/>
        <v>-0.02</v>
      </c>
      <c r="DV72" s="112">
        <f t="shared" si="243"/>
        <v>1.35</v>
      </c>
      <c r="DW72" s="260"/>
      <c r="DX72" s="168"/>
      <c r="DY72" s="168"/>
    </row>
    <row r="73" spans="1:260" s="151" customFormat="1" ht="14" customHeight="1">
      <c r="A73" s="158"/>
      <c r="B73" s="153">
        <f t="shared" ca="1" si="166"/>
        <v>75</v>
      </c>
      <c r="C73" s="154" t="str">
        <f t="shared" ca="1" si="167"/>
        <v>-</v>
      </c>
      <c r="D73" s="155">
        <f t="shared" ca="1" si="168"/>
        <v>75</v>
      </c>
      <c r="E73" s="156" t="str">
        <f t="shared" ca="1" si="169"/>
        <v>-</v>
      </c>
      <c r="F73" s="184"/>
      <c r="G73" s="195"/>
      <c r="H73" s="239">
        <v>58.35</v>
      </c>
      <c r="I73" s="240">
        <v>-34.409999999999997</v>
      </c>
      <c r="J73" s="241">
        <v>18.25</v>
      </c>
      <c r="K73" s="181"/>
      <c r="L73" s="204">
        <f t="shared" ca="1" si="170"/>
        <v>58.35</v>
      </c>
      <c r="M73" s="95">
        <f t="shared" ca="1" si="171"/>
        <v>-34.409999999999997</v>
      </c>
      <c r="N73" s="205">
        <f t="shared" ca="1" si="172"/>
        <v>18.25</v>
      </c>
      <c r="O73" s="21"/>
      <c r="P73" s="157">
        <f t="shared" ca="1" si="173"/>
        <v>0</v>
      </c>
      <c r="Q73" s="215"/>
      <c r="R73" s="289">
        <f t="shared" ca="1" si="174"/>
        <v>0</v>
      </c>
      <c r="S73" s="290"/>
      <c r="T73" s="148"/>
      <c r="U73" s="291">
        <f t="shared" ca="1" si="175"/>
        <v>0</v>
      </c>
      <c r="V73" s="292"/>
      <c r="W73" s="23"/>
      <c r="X73" s="291">
        <f t="shared" ca="1" si="176"/>
        <v>0</v>
      </c>
      <c r="Y73" s="292"/>
      <c r="Z73" s="215"/>
      <c r="AA73" s="215"/>
      <c r="AB73" s="215"/>
      <c r="AC73" s="94"/>
      <c r="AD73" s="94"/>
      <c r="AE73" s="149"/>
      <c r="AF73" s="149"/>
      <c r="AG73" s="109">
        <f t="shared" ca="1" si="104"/>
        <v>55.03</v>
      </c>
      <c r="AH73" s="109">
        <f t="shared" ca="1" si="105"/>
        <v>2.75</v>
      </c>
      <c r="AI73" s="109">
        <f t="shared" ca="1" si="106"/>
        <v>20.32</v>
      </c>
      <c r="AJ73" s="109">
        <f t="shared" ca="1" si="190"/>
        <v>20.505240793514229</v>
      </c>
      <c r="AK73" s="113">
        <f t="shared" ca="1" si="191"/>
        <v>82.292722469369167</v>
      </c>
      <c r="AL73" s="159"/>
      <c r="AM73" s="112">
        <f t="shared" si="109"/>
        <v>55.03</v>
      </c>
      <c r="AN73" s="112">
        <f t="shared" si="110"/>
        <v>2.75</v>
      </c>
      <c r="AO73" s="112">
        <f t="shared" si="111"/>
        <v>20.32</v>
      </c>
      <c r="AP73" s="113">
        <f t="shared" si="192"/>
        <v>20.505240793514229</v>
      </c>
      <c r="AQ73" s="112">
        <f t="shared" si="70"/>
        <v>82.292722469369167</v>
      </c>
      <c r="AR73" s="255"/>
      <c r="AS73" s="112">
        <f t="shared" ca="1" si="193"/>
        <v>0</v>
      </c>
      <c r="AT73" s="112">
        <f t="shared" ca="1" si="194"/>
        <v>0</v>
      </c>
      <c r="AU73" s="112">
        <f t="shared" ca="1" si="195"/>
        <v>0</v>
      </c>
      <c r="AV73" s="112">
        <f t="shared" ca="1" si="196"/>
        <v>0</v>
      </c>
      <c r="AW73" s="112">
        <f t="shared" ca="1" si="83"/>
        <v>0</v>
      </c>
      <c r="AX73" s="112">
        <f t="shared" ca="1" si="177"/>
        <v>0</v>
      </c>
      <c r="AY73" s="112">
        <f t="shared" si="197"/>
        <v>1.143853142083606</v>
      </c>
      <c r="AZ73" s="112">
        <f t="shared" si="198"/>
        <v>1.6692274363095052</v>
      </c>
      <c r="BA73" s="112">
        <f t="shared" si="199"/>
        <v>0.91114541226899071</v>
      </c>
      <c r="BB73" s="112">
        <f t="shared" si="200"/>
        <v>0.54341467256180653</v>
      </c>
      <c r="BC73" s="112">
        <f t="shared" si="201"/>
        <v>0.99466934397179474</v>
      </c>
      <c r="BD73" s="112">
        <f t="shared" ca="1" si="202"/>
        <v>55.03</v>
      </c>
      <c r="BE73" s="112">
        <f t="shared" si="203"/>
        <v>20.505240793514229</v>
      </c>
      <c r="BF73" s="112">
        <f t="shared" ca="1" si="204"/>
        <v>20.505240793514229</v>
      </c>
      <c r="BG73" s="112">
        <f t="shared" ca="1" si="205"/>
        <v>20.505240793514229</v>
      </c>
      <c r="BH73" s="112">
        <f t="shared" ca="1" si="206"/>
        <v>0.27648915499063953</v>
      </c>
      <c r="BI73" s="112">
        <f t="shared" ca="1" si="207"/>
        <v>3.5103451762242592</v>
      </c>
      <c r="BJ73" s="112">
        <f t="shared" ca="1" si="208"/>
        <v>3.5103451762242592</v>
      </c>
      <c r="BK73" s="112">
        <f t="shared" ca="1" si="209"/>
        <v>20.62098259676878</v>
      </c>
      <c r="BL73" s="112">
        <f t="shared" ca="1" si="210"/>
        <v>20.62098259676878</v>
      </c>
      <c r="BM73" s="112">
        <f t="shared" ca="1" si="211"/>
        <v>20.62098259676878</v>
      </c>
      <c r="BN73" s="112">
        <f t="shared" ca="1" si="29"/>
        <v>80.198708433505303</v>
      </c>
      <c r="BO73" s="112">
        <f t="shared" ca="1" si="212"/>
        <v>80.198708433505303</v>
      </c>
      <c r="BP73" s="112">
        <f t="shared" ca="1" si="213"/>
        <v>80.198708433505303</v>
      </c>
      <c r="BQ73" s="112">
        <f t="shared" ca="1" si="214"/>
        <v>0.58026364836985023</v>
      </c>
      <c r="BR73" s="112">
        <f t="shared" ca="1" si="215"/>
        <v>0</v>
      </c>
      <c r="BS73" s="112">
        <f t="shared" ca="1" si="216"/>
        <v>0</v>
      </c>
      <c r="BT73" s="112">
        <f t="shared" ca="1" si="217"/>
        <v>0</v>
      </c>
      <c r="BU73" s="112">
        <f t="shared" ca="1" si="218"/>
        <v>0</v>
      </c>
      <c r="BV73" s="112">
        <f t="shared" ca="1" si="219"/>
        <v>1.056386328092177</v>
      </c>
      <c r="BW73" s="112">
        <f t="shared" ca="1" si="220"/>
        <v>1.927944216854595</v>
      </c>
      <c r="BX73" s="112">
        <f t="shared" ca="1" si="221"/>
        <v>1.1794840989185835</v>
      </c>
      <c r="BY73" s="112">
        <f t="shared" ca="1" si="222"/>
        <v>1.2837116301762184E-25</v>
      </c>
      <c r="BZ73" s="112">
        <f t="shared" ca="1" si="223"/>
        <v>0.9081915293360161</v>
      </c>
      <c r="CA73" s="112">
        <f t="shared" ca="1" si="224"/>
        <v>-4.0696052607852925E-27</v>
      </c>
      <c r="CB73" s="112">
        <v>1</v>
      </c>
      <c r="CC73" s="112">
        <v>1</v>
      </c>
      <c r="CD73" s="112">
        <v>1</v>
      </c>
      <c r="CE73" s="112">
        <v>1</v>
      </c>
      <c r="CF73" s="112">
        <f t="shared" ca="1" si="225"/>
        <v>1.9227358357081403</v>
      </c>
      <c r="CG73" s="112">
        <f t="shared" ca="1" si="226"/>
        <v>1.3075786119027133</v>
      </c>
      <c r="CH73" s="255"/>
      <c r="CI73" s="150" t="str">
        <f t="shared" ca="1" si="178"/>
        <v>C40M40Y70K0</v>
      </c>
      <c r="CJ73" s="125">
        <f t="shared" ca="1" si="227"/>
        <v>0</v>
      </c>
      <c r="CK73" s="125">
        <f t="shared" ca="1" si="228"/>
        <v>0</v>
      </c>
      <c r="CL73" s="125">
        <f t="shared" ca="1" si="229"/>
        <v>0</v>
      </c>
      <c r="CM73" s="112">
        <f t="shared" ca="1" si="179"/>
        <v>0</v>
      </c>
      <c r="CN73" s="112">
        <f t="shared" ca="1" si="230"/>
        <v>0</v>
      </c>
      <c r="CO73" s="112">
        <f t="shared" ca="1" si="231"/>
        <v>0</v>
      </c>
      <c r="CP73" s="112">
        <f t="shared" ca="1" si="232"/>
        <v>0</v>
      </c>
      <c r="CQ73" s="112" t="str">
        <f t="shared" ca="1" si="233"/>
        <v/>
      </c>
      <c r="CR73" s="112" t="str">
        <f t="shared" ca="1" si="234"/>
        <v/>
      </c>
      <c r="CS73" s="112" t="str">
        <f t="shared" ca="1" si="235"/>
        <v/>
      </c>
      <c r="CT73" s="112" t="str">
        <f t="shared" ca="1" si="236"/>
        <v/>
      </c>
      <c r="CU73" s="112" t="str">
        <f t="shared" ca="1" si="237"/>
        <v/>
      </c>
      <c r="CV73" s="112" t="str">
        <f t="shared" ca="1" si="238"/>
        <v/>
      </c>
      <c r="CW73" s="112" t="str">
        <f t="shared" ca="1" si="162"/>
        <v/>
      </c>
      <c r="CX73" s="112" t="str">
        <f t="shared" ca="1" si="239"/>
        <v/>
      </c>
      <c r="CY73" s="112" t="str">
        <f t="shared" ca="1" si="165"/>
        <v/>
      </c>
      <c r="CZ73" s="112" t="str">
        <f t="shared" ca="1" si="240"/>
        <v/>
      </c>
      <c r="DA73" s="112" t="str">
        <f t="shared" ca="1" si="55"/>
        <v/>
      </c>
      <c r="DB73" s="112" t="str">
        <f t="shared" ca="1" si="56"/>
        <v/>
      </c>
      <c r="DC73" s="112" t="str">
        <f t="shared" ca="1" si="163"/>
        <v/>
      </c>
      <c r="DD73" s="112" t="str">
        <f t="shared" ca="1" si="153"/>
        <v/>
      </c>
      <c r="DE73" s="112" t="str">
        <f t="shared" ca="1" si="164"/>
        <v/>
      </c>
      <c r="DF73" s="112" t="str">
        <f t="shared" ca="1" si="60"/>
        <v/>
      </c>
      <c r="DG73" s="125">
        <f t="shared" ca="1" si="180"/>
        <v>40</v>
      </c>
      <c r="DH73" s="125">
        <f t="shared" ca="1" si="181"/>
        <v>40</v>
      </c>
      <c r="DI73" s="125">
        <f t="shared" ca="1" si="182"/>
        <v>70</v>
      </c>
      <c r="DJ73" s="125" t="str">
        <f t="shared" ca="1" si="183"/>
        <v>-</v>
      </c>
      <c r="DK73" s="112">
        <f t="shared" ca="1" si="184"/>
        <v>0.22738877107171973</v>
      </c>
      <c r="DL73" s="112">
        <f t="shared" ca="1" si="185"/>
        <v>0.22958921140614108</v>
      </c>
      <c r="DM73" s="112">
        <f t="shared" ca="1" si="186"/>
        <v>0.10989280337694067</v>
      </c>
      <c r="DN73" s="112">
        <f t="shared" si="187"/>
        <v>0.22738877107171973</v>
      </c>
      <c r="DO73" s="112">
        <f t="shared" si="188"/>
        <v>0.22958921140614108</v>
      </c>
      <c r="DP73" s="112">
        <f t="shared" si="189"/>
        <v>0.10989280337694067</v>
      </c>
      <c r="DQ73" s="112">
        <f t="shared" ca="1" si="79"/>
        <v>55.03</v>
      </c>
      <c r="DR73" s="112">
        <f t="shared" ca="1" si="67"/>
        <v>2.75</v>
      </c>
      <c r="DS73" s="112">
        <f t="shared" ca="1" si="68"/>
        <v>20.32</v>
      </c>
      <c r="DT73" s="112">
        <f t="shared" si="241"/>
        <v>55.03</v>
      </c>
      <c r="DU73" s="112">
        <f t="shared" si="242"/>
        <v>2.75</v>
      </c>
      <c r="DV73" s="112">
        <f t="shared" si="243"/>
        <v>20.32</v>
      </c>
      <c r="DW73" s="260"/>
      <c r="DX73" s="168"/>
      <c r="DY73" s="168"/>
    </row>
    <row r="74" spans="1:260" s="151" customFormat="1" ht="14" customHeight="1">
      <c r="A74" s="158"/>
      <c r="B74" s="153" t="str">
        <f t="shared" ca="1" si="166"/>
        <v>-</v>
      </c>
      <c r="C74" s="154">
        <f t="shared" ca="1" si="167"/>
        <v>40</v>
      </c>
      <c r="D74" s="155">
        <f t="shared" ca="1" si="168"/>
        <v>70</v>
      </c>
      <c r="E74" s="156">
        <f t="shared" ca="1" si="169"/>
        <v>40</v>
      </c>
      <c r="F74" s="184"/>
      <c r="G74" s="195"/>
      <c r="H74" s="239">
        <v>49.81</v>
      </c>
      <c r="I74" s="240">
        <v>13.82</v>
      </c>
      <c r="J74" s="241">
        <v>22.78</v>
      </c>
      <c r="K74" s="181"/>
      <c r="L74" s="204">
        <f t="shared" ca="1" si="170"/>
        <v>49.81</v>
      </c>
      <c r="M74" s="95">
        <f t="shared" ca="1" si="171"/>
        <v>13.82</v>
      </c>
      <c r="N74" s="205">
        <f t="shared" ca="1" si="172"/>
        <v>22.78</v>
      </c>
      <c r="O74" s="21"/>
      <c r="P74" s="157">
        <f t="shared" ca="1" si="173"/>
        <v>0</v>
      </c>
      <c r="Q74" s="215"/>
      <c r="R74" s="289">
        <f t="shared" ca="1" si="174"/>
        <v>0</v>
      </c>
      <c r="S74" s="290"/>
      <c r="T74" s="148"/>
      <c r="U74" s="291">
        <f t="shared" ca="1" si="175"/>
        <v>0</v>
      </c>
      <c r="V74" s="292"/>
      <c r="W74" s="23"/>
      <c r="X74" s="291">
        <f t="shared" ca="1" si="176"/>
        <v>0</v>
      </c>
      <c r="Y74" s="292"/>
      <c r="Z74" s="215"/>
      <c r="AA74" s="215"/>
      <c r="AB74" s="215"/>
      <c r="AC74" s="94"/>
      <c r="AD74" s="94"/>
      <c r="AE74" s="149"/>
      <c r="AF74" s="149"/>
      <c r="AG74" s="109">
        <f t="shared" ca="1" si="104"/>
        <v>41.75</v>
      </c>
      <c r="AH74" s="109">
        <f t="shared" ca="1" si="105"/>
        <v>0.44</v>
      </c>
      <c r="AI74" s="109">
        <f t="shared" ca="1" si="106"/>
        <v>1.41</v>
      </c>
      <c r="AJ74" s="109">
        <f t="shared" ca="1" si="190"/>
        <v>1.4770578864756789</v>
      </c>
      <c r="AK74" s="113">
        <f t="shared" ca="1" si="191"/>
        <v>72.669115822703858</v>
      </c>
      <c r="AL74" s="159"/>
      <c r="AM74" s="112">
        <f t="shared" si="109"/>
        <v>41.75</v>
      </c>
      <c r="AN74" s="112">
        <f t="shared" si="110"/>
        <v>0.44</v>
      </c>
      <c r="AO74" s="112">
        <f t="shared" si="111"/>
        <v>1.41</v>
      </c>
      <c r="AP74" s="113">
        <f t="shared" si="192"/>
        <v>1.4770578864756789</v>
      </c>
      <c r="AQ74" s="112">
        <f t="shared" si="70"/>
        <v>72.669115822703858</v>
      </c>
      <c r="AR74" s="255"/>
      <c r="AS74" s="112">
        <f t="shared" ca="1" si="193"/>
        <v>0</v>
      </c>
      <c r="AT74" s="112">
        <f t="shared" ca="1" si="194"/>
        <v>0</v>
      </c>
      <c r="AU74" s="112">
        <f t="shared" ca="1" si="195"/>
        <v>0</v>
      </c>
      <c r="AV74" s="112">
        <f t="shared" ca="1" si="196"/>
        <v>0</v>
      </c>
      <c r="AW74" s="112">
        <f t="shared" ca="1" si="83"/>
        <v>0</v>
      </c>
      <c r="AX74" s="112">
        <f t="shared" ca="1" si="177"/>
        <v>0</v>
      </c>
      <c r="AY74" s="112">
        <f t="shared" si="197"/>
        <v>0.98492634094033149</v>
      </c>
      <c r="AZ74" s="112">
        <f t="shared" si="198"/>
        <v>0.73044748441140372</v>
      </c>
      <c r="BA74" s="112">
        <f t="shared" si="199"/>
        <v>0.71151141230467996</v>
      </c>
      <c r="BB74" s="112">
        <f t="shared" si="200"/>
        <v>0.48140780124400367</v>
      </c>
      <c r="BC74" s="112">
        <f t="shared" si="201"/>
        <v>4.9989054391997377E-2</v>
      </c>
      <c r="BD74" s="112">
        <f t="shared" ca="1" si="202"/>
        <v>41.75</v>
      </c>
      <c r="BE74" s="112">
        <f t="shared" si="203"/>
        <v>1.4770578864756789</v>
      </c>
      <c r="BF74" s="112">
        <f t="shared" ca="1" si="204"/>
        <v>1.4770578864756789</v>
      </c>
      <c r="BG74" s="112">
        <f t="shared" ca="1" si="205"/>
        <v>1.4770578864756789</v>
      </c>
      <c r="BH74" s="112">
        <f t="shared" ca="1" si="206"/>
        <v>0.4999749347939681</v>
      </c>
      <c r="BI74" s="112">
        <f t="shared" ca="1" si="207"/>
        <v>0.65998897130934597</v>
      </c>
      <c r="BJ74" s="112">
        <f t="shared" ca="1" si="208"/>
        <v>0.65998897130934597</v>
      </c>
      <c r="BK74" s="112">
        <f t="shared" ca="1" si="209"/>
        <v>1.5568190139672526</v>
      </c>
      <c r="BL74" s="112">
        <f t="shared" ca="1" si="210"/>
        <v>1.5568190139672526</v>
      </c>
      <c r="BM74" s="112">
        <f t="shared" ca="1" si="211"/>
        <v>1.5568190139672526</v>
      </c>
      <c r="BN74" s="112">
        <f t="shared" ca="1" si="29"/>
        <v>64.916773604507327</v>
      </c>
      <c r="BO74" s="112">
        <f t="shared" ca="1" si="212"/>
        <v>64.916773604507327</v>
      </c>
      <c r="BP74" s="112">
        <f t="shared" ca="1" si="213"/>
        <v>64.916773604507327</v>
      </c>
      <c r="BQ74" s="112">
        <f t="shared" ca="1" si="214"/>
        <v>0.59922324128380644</v>
      </c>
      <c r="BR74" s="112">
        <f t="shared" ca="1" si="215"/>
        <v>0</v>
      </c>
      <c r="BS74" s="112">
        <f t="shared" ca="1" si="216"/>
        <v>0</v>
      </c>
      <c r="BT74" s="112">
        <f t="shared" ca="1" si="217"/>
        <v>0</v>
      </c>
      <c r="BU74" s="112">
        <f t="shared" ca="1" si="218"/>
        <v>0</v>
      </c>
      <c r="BV74" s="112">
        <f t="shared" ca="1" si="219"/>
        <v>1.1087936759166011</v>
      </c>
      <c r="BW74" s="112">
        <f t="shared" ca="1" si="220"/>
        <v>1.0700568556285264</v>
      </c>
      <c r="BX74" s="112">
        <f t="shared" ca="1" si="221"/>
        <v>1.0139932320346257</v>
      </c>
      <c r="BY74" s="112">
        <f t="shared" ca="1" si="222"/>
        <v>6.4418189835724746E-30</v>
      </c>
      <c r="BZ74" s="112">
        <f t="shared" ca="1" si="223"/>
        <v>1.2052396468495606E-4</v>
      </c>
      <c r="CA74" s="112">
        <f t="shared" ca="1" si="224"/>
        <v>-2.7101247955120149E-35</v>
      </c>
      <c r="CB74" s="112">
        <v>1</v>
      </c>
      <c r="CC74" s="112">
        <v>1</v>
      </c>
      <c r="CD74" s="112">
        <v>1</v>
      </c>
      <c r="CE74" s="112">
        <v>1</v>
      </c>
      <c r="CF74" s="112">
        <f t="shared" ca="1" si="225"/>
        <v>1.0664676048914055</v>
      </c>
      <c r="CG74" s="112">
        <f t="shared" ca="1" si="226"/>
        <v>1.0221558682971352</v>
      </c>
      <c r="CH74" s="255"/>
      <c r="CI74" s="150" t="str">
        <f t="shared" ca="1" si="178"/>
        <v>C0M0Y0K75</v>
      </c>
      <c r="CJ74" s="125">
        <f t="shared" ca="1" si="227"/>
        <v>0</v>
      </c>
      <c r="CK74" s="125">
        <f t="shared" ca="1" si="228"/>
        <v>0</v>
      </c>
      <c r="CL74" s="125">
        <f t="shared" ca="1" si="229"/>
        <v>0</v>
      </c>
      <c r="CM74" s="112">
        <f t="shared" ca="1" si="179"/>
        <v>0</v>
      </c>
      <c r="CN74" s="112">
        <f t="shared" ca="1" si="230"/>
        <v>0</v>
      </c>
      <c r="CO74" s="112">
        <f t="shared" ca="1" si="231"/>
        <v>0</v>
      </c>
      <c r="CP74" s="112">
        <f t="shared" ca="1" si="232"/>
        <v>0</v>
      </c>
      <c r="CQ74" s="112" t="str">
        <f t="shared" ca="1" si="233"/>
        <v/>
      </c>
      <c r="CR74" s="112" t="str">
        <f t="shared" ca="1" si="234"/>
        <v/>
      </c>
      <c r="CS74" s="112" t="str">
        <f t="shared" ca="1" si="235"/>
        <v/>
      </c>
      <c r="CT74" s="112" t="str">
        <f t="shared" ca="1" si="236"/>
        <v/>
      </c>
      <c r="CU74" s="112" t="str">
        <f t="shared" ca="1" si="237"/>
        <v/>
      </c>
      <c r="CV74" s="112" t="str">
        <f t="shared" ca="1" si="238"/>
        <v/>
      </c>
      <c r="CW74" s="112" t="str">
        <f t="shared" ca="1" si="162"/>
        <v/>
      </c>
      <c r="CX74" s="112" t="str">
        <f t="shared" ca="1" si="239"/>
        <v/>
      </c>
      <c r="CY74" s="112" t="str">
        <f t="shared" ca="1" si="165"/>
        <v/>
      </c>
      <c r="CZ74" s="112" t="str">
        <f t="shared" ca="1" si="240"/>
        <v/>
      </c>
      <c r="DA74" s="112" t="str">
        <f t="shared" ca="1" si="55"/>
        <v/>
      </c>
      <c r="DB74" s="112" t="str">
        <f t="shared" ca="1" si="56"/>
        <v>C0M0Y0K75</v>
      </c>
      <c r="DC74" s="112">
        <f t="shared" ca="1" si="163"/>
        <v>0</v>
      </c>
      <c r="DD74" s="112">
        <f t="shared" ca="1" si="153"/>
        <v>0</v>
      </c>
      <c r="DE74" s="112">
        <f t="shared" ca="1" si="164"/>
        <v>0</v>
      </c>
      <c r="DF74" s="112">
        <f t="shared" ca="1" si="60"/>
        <v>0</v>
      </c>
      <c r="DG74" s="125" t="str">
        <f t="shared" ca="1" si="180"/>
        <v>-</v>
      </c>
      <c r="DH74" s="125" t="str">
        <f t="shared" ca="1" si="181"/>
        <v>-</v>
      </c>
      <c r="DI74" s="125" t="str">
        <f t="shared" ca="1" si="182"/>
        <v>-</v>
      </c>
      <c r="DJ74" s="125">
        <f t="shared" ca="1" si="183"/>
        <v>75</v>
      </c>
      <c r="DK74" s="112">
        <f t="shared" ca="1" si="184"/>
        <v>0.11960520884703821</v>
      </c>
      <c r="DL74" s="112">
        <f t="shared" ca="1" si="185"/>
        <v>0.12339057783157879</v>
      </c>
      <c r="DM74" s="112">
        <f t="shared" ca="1" si="186"/>
        <v>9.7521693631839643E-2</v>
      </c>
      <c r="DN74" s="112">
        <f t="shared" si="187"/>
        <v>0.11960520884703821</v>
      </c>
      <c r="DO74" s="112">
        <f t="shared" si="188"/>
        <v>0.12339057783157879</v>
      </c>
      <c r="DP74" s="112">
        <f t="shared" si="189"/>
        <v>9.7521693631839643E-2</v>
      </c>
      <c r="DQ74" s="112">
        <f t="shared" ca="1" si="79"/>
        <v>41.75</v>
      </c>
      <c r="DR74" s="112">
        <f t="shared" ca="1" si="67"/>
        <v>0.44</v>
      </c>
      <c r="DS74" s="112">
        <f t="shared" ca="1" si="68"/>
        <v>1.41</v>
      </c>
      <c r="DT74" s="112">
        <f t="shared" si="241"/>
        <v>41.75</v>
      </c>
      <c r="DU74" s="112">
        <f t="shared" si="242"/>
        <v>0.44</v>
      </c>
      <c r="DV74" s="112">
        <f t="shared" si="243"/>
        <v>1.41</v>
      </c>
      <c r="DW74" s="260"/>
      <c r="DX74" s="168"/>
      <c r="DY74" s="168"/>
    </row>
    <row r="75" spans="1:260" s="151" customFormat="1" ht="14" customHeight="1">
      <c r="A75" s="158"/>
      <c r="B75" s="153" t="str">
        <f t="shared" ca="1" si="166"/>
        <v>-</v>
      </c>
      <c r="C75" s="154" t="str">
        <f t="shared" ca="1" si="167"/>
        <v>-</v>
      </c>
      <c r="D75" s="155">
        <f t="shared" ca="1" si="168"/>
        <v>25</v>
      </c>
      <c r="E75" s="156" t="str">
        <f t="shared" ca="1" si="169"/>
        <v>-</v>
      </c>
      <c r="F75" s="184"/>
      <c r="G75" s="195"/>
      <c r="H75" s="239">
        <v>85.14</v>
      </c>
      <c r="I75" s="240">
        <v>-1.77</v>
      </c>
      <c r="J75" s="241">
        <v>22.27</v>
      </c>
      <c r="K75" s="181"/>
      <c r="L75" s="204">
        <f t="shared" ca="1" si="170"/>
        <v>85.14</v>
      </c>
      <c r="M75" s="95">
        <f t="shared" ca="1" si="171"/>
        <v>-1.77</v>
      </c>
      <c r="N75" s="205">
        <f t="shared" ca="1" si="172"/>
        <v>22.27</v>
      </c>
      <c r="O75" s="21"/>
      <c r="P75" s="157">
        <f t="shared" ca="1" si="173"/>
        <v>0</v>
      </c>
      <c r="Q75" s="215"/>
      <c r="R75" s="289">
        <f t="shared" ca="1" si="174"/>
        <v>0</v>
      </c>
      <c r="S75" s="290"/>
      <c r="T75" s="148"/>
      <c r="U75" s="291">
        <f t="shared" ca="1" si="175"/>
        <v>0</v>
      </c>
      <c r="V75" s="292"/>
      <c r="W75" s="23"/>
      <c r="X75" s="291">
        <f t="shared" ca="1" si="176"/>
        <v>0</v>
      </c>
      <c r="Y75" s="292"/>
      <c r="Z75" s="215"/>
      <c r="AA75" s="215"/>
      <c r="AB75" s="215"/>
      <c r="AC75" s="94"/>
      <c r="AD75" s="94"/>
      <c r="AE75" s="149"/>
      <c r="AF75" s="149"/>
      <c r="AG75" s="109">
        <f t="shared" ca="1" si="104"/>
        <v>41.14</v>
      </c>
      <c r="AH75" s="109">
        <f t="shared" ca="1" si="105"/>
        <v>0.56999999999999995</v>
      </c>
      <c r="AI75" s="109">
        <f t="shared" ca="1" si="106"/>
        <v>-0.02</v>
      </c>
      <c r="AJ75" s="109">
        <f t="shared" ca="1" si="190"/>
        <v>0.57035076926396788</v>
      </c>
      <c r="AK75" s="113">
        <f t="shared" ca="1" si="191"/>
        <v>357.99044618697889</v>
      </c>
      <c r="AL75" s="159"/>
      <c r="AM75" s="112">
        <f t="shared" si="109"/>
        <v>41.14</v>
      </c>
      <c r="AN75" s="112">
        <f t="shared" si="110"/>
        <v>0.56999999999999995</v>
      </c>
      <c r="AO75" s="112">
        <f t="shared" si="111"/>
        <v>-0.02</v>
      </c>
      <c r="AP75" s="113">
        <f t="shared" si="192"/>
        <v>0.57035076926396788</v>
      </c>
      <c r="AQ75" s="112">
        <f t="shared" si="70"/>
        <v>357.99044618697889</v>
      </c>
      <c r="AR75" s="255"/>
      <c r="AS75" s="112">
        <f t="shared" ca="1" si="193"/>
        <v>0</v>
      </c>
      <c r="AT75" s="112">
        <f t="shared" ca="1" si="194"/>
        <v>0</v>
      </c>
      <c r="AU75" s="112">
        <f t="shared" ca="1" si="195"/>
        <v>0</v>
      </c>
      <c r="AV75" s="112">
        <f t="shared" ca="1" si="196"/>
        <v>0</v>
      </c>
      <c r="AW75" s="112">
        <f t="shared" ca="1" si="83"/>
        <v>0</v>
      </c>
      <c r="AX75" s="112">
        <f t="shared" ca="1" si="177"/>
        <v>0</v>
      </c>
      <c r="AY75" s="112">
        <f t="shared" si="197"/>
        <v>0.97658941638506225</v>
      </c>
      <c r="AZ75" s="112">
        <f t="shared" si="198"/>
        <v>0.67411851615156171</v>
      </c>
      <c r="BA75" s="112">
        <f t="shared" si="199"/>
        <v>0.67258668028372737</v>
      </c>
      <c r="BB75" s="112">
        <f t="shared" si="200"/>
        <v>0.69550454895614611</v>
      </c>
      <c r="BC75" s="112">
        <f t="shared" si="201"/>
        <v>7.4626860093594026E-3</v>
      </c>
      <c r="BD75" s="112">
        <f t="shared" ca="1" si="202"/>
        <v>41.14</v>
      </c>
      <c r="BE75" s="112">
        <f t="shared" si="203"/>
        <v>0.57035076926396788</v>
      </c>
      <c r="BF75" s="112">
        <f t="shared" ca="1" si="204"/>
        <v>0.57035076926396788</v>
      </c>
      <c r="BG75" s="112">
        <f t="shared" ca="1" si="205"/>
        <v>0.57035076926396788</v>
      </c>
      <c r="BH75" s="112">
        <f t="shared" ca="1" si="206"/>
        <v>0.4999991032382316</v>
      </c>
      <c r="BI75" s="112">
        <f t="shared" ca="1" si="207"/>
        <v>0.85499948884579191</v>
      </c>
      <c r="BJ75" s="112">
        <f t="shared" ca="1" si="208"/>
        <v>0.85499948884579191</v>
      </c>
      <c r="BK75" s="112">
        <f t="shared" ca="1" si="209"/>
        <v>0.85523337512433728</v>
      </c>
      <c r="BL75" s="112">
        <f t="shared" ca="1" si="210"/>
        <v>0.85523337512433728</v>
      </c>
      <c r="BM75" s="112">
        <f t="shared" ca="1" si="211"/>
        <v>0.85523337512433728</v>
      </c>
      <c r="BN75" s="112">
        <f t="shared" ca="1" si="29"/>
        <v>358.65999141828007</v>
      </c>
      <c r="BO75" s="112">
        <f t="shared" ca="1" si="212"/>
        <v>358.65999141828007</v>
      </c>
      <c r="BP75" s="112">
        <f t="shared" ca="1" si="213"/>
        <v>358.65999141828007</v>
      </c>
      <c r="BQ75" s="112">
        <f t="shared" ca="1" si="214"/>
        <v>1.3405955496356725</v>
      </c>
      <c r="BR75" s="112">
        <f t="shared" ca="1" si="215"/>
        <v>0</v>
      </c>
      <c r="BS75" s="112">
        <f t="shared" ca="1" si="216"/>
        <v>0</v>
      </c>
      <c r="BT75" s="112">
        <f t="shared" ca="1" si="217"/>
        <v>0</v>
      </c>
      <c r="BU75" s="112">
        <f t="shared" ca="1" si="218"/>
        <v>0</v>
      </c>
      <c r="BV75" s="112">
        <f t="shared" ca="1" si="219"/>
        <v>1.1186428223461113</v>
      </c>
      <c r="BW75" s="112">
        <f t="shared" ca="1" si="220"/>
        <v>1.0384855018805952</v>
      </c>
      <c r="BX75" s="112">
        <f t="shared" ca="1" si="221"/>
        <v>1.0171978308488738</v>
      </c>
      <c r="BY75" s="112">
        <f t="shared" ca="1" si="222"/>
        <v>4.1088660535758108E-4</v>
      </c>
      <c r="BZ75" s="112">
        <f t="shared" ca="1" si="223"/>
        <v>1.480935717743572E-5</v>
      </c>
      <c r="CA75" s="112">
        <f t="shared" ca="1" si="224"/>
        <v>-2.1240540052575737E-10</v>
      </c>
      <c r="CB75" s="112">
        <v>1</v>
      </c>
      <c r="CC75" s="112">
        <v>1</v>
      </c>
      <c r="CD75" s="112">
        <v>1</v>
      </c>
      <c r="CE75" s="112">
        <v>1</v>
      </c>
      <c r="CF75" s="112">
        <f t="shared" ca="1" si="225"/>
        <v>1.0256657846168786</v>
      </c>
      <c r="CG75" s="112">
        <f t="shared" ca="1" si="226"/>
        <v>1.0085552615389595</v>
      </c>
      <c r="CH75" s="255"/>
      <c r="CI75" s="150" t="str">
        <f t="shared" ca="1" si="178"/>
        <v>C75M66Y66K0</v>
      </c>
      <c r="CJ75" s="125">
        <f t="shared" ca="1" si="227"/>
        <v>0</v>
      </c>
      <c r="CK75" s="125">
        <f t="shared" ca="1" si="228"/>
        <v>0</v>
      </c>
      <c r="CL75" s="125">
        <f t="shared" ca="1" si="229"/>
        <v>0</v>
      </c>
      <c r="CM75" s="112">
        <f t="shared" ca="1" si="179"/>
        <v>0</v>
      </c>
      <c r="CN75" s="112">
        <f t="shared" ca="1" si="230"/>
        <v>0</v>
      </c>
      <c r="CO75" s="112">
        <f t="shared" ca="1" si="231"/>
        <v>0</v>
      </c>
      <c r="CP75" s="112">
        <f t="shared" ca="1" si="232"/>
        <v>0</v>
      </c>
      <c r="CQ75" s="112" t="str">
        <f t="shared" ca="1" si="233"/>
        <v/>
      </c>
      <c r="CR75" s="112" t="str">
        <f t="shared" ca="1" si="234"/>
        <v/>
      </c>
      <c r="CS75" s="112" t="str">
        <f t="shared" ca="1" si="235"/>
        <v/>
      </c>
      <c r="CT75" s="112" t="str">
        <f t="shared" ca="1" si="236"/>
        <v/>
      </c>
      <c r="CU75" s="112" t="str">
        <f t="shared" ca="1" si="237"/>
        <v/>
      </c>
      <c r="CV75" s="112" t="str">
        <f t="shared" ca="1" si="238"/>
        <v/>
      </c>
      <c r="CW75" s="112" t="str">
        <f t="shared" ca="1" si="162"/>
        <v>C75M66Y66K0</v>
      </c>
      <c r="CX75" s="112">
        <f t="shared" ca="1" si="239"/>
        <v>0</v>
      </c>
      <c r="CY75" s="112">
        <f t="shared" ca="1" si="165"/>
        <v>0</v>
      </c>
      <c r="CZ75" s="112">
        <f t="shared" ca="1" si="240"/>
        <v>0</v>
      </c>
      <c r="DA75" s="112">
        <f t="shared" ca="1" si="55"/>
        <v>0</v>
      </c>
      <c r="DB75" s="112" t="str">
        <f t="shared" ca="1" si="56"/>
        <v>C75M66Y66K0</v>
      </c>
      <c r="DC75" s="112">
        <f t="shared" ca="1" si="163"/>
        <v>0</v>
      </c>
      <c r="DD75" s="112">
        <f ca="1">IF(DB75="","",AX75)</f>
        <v>0</v>
      </c>
      <c r="DE75" s="112">
        <f t="shared" ca="1" si="164"/>
        <v>0</v>
      </c>
      <c r="DF75" s="112">
        <f ca="1">IFERROR(IF(DB75="","",((($AN75-$AH75)^2+($AO75-$AI75)^2)^0.5)*(1-MAX(0,($DG75-50)/50*0.75))),((($AN75-$AH75)^2+($AO75-$AI75)^2)^0.5)*(1-MAX(0,($DJ75-50)/50*0.75)))</f>
        <v>0</v>
      </c>
      <c r="DG75" s="125">
        <f t="shared" ca="1" si="180"/>
        <v>75</v>
      </c>
      <c r="DH75" s="125">
        <f t="shared" ca="1" si="181"/>
        <v>66.122</v>
      </c>
      <c r="DI75" s="125">
        <f t="shared" ca="1" si="182"/>
        <v>66.122</v>
      </c>
      <c r="DJ75" s="125" t="str">
        <f t="shared" ca="1" si="183"/>
        <v>-</v>
      </c>
      <c r="DK75" s="112">
        <f t="shared" ca="1" si="184"/>
        <v>0.11604479548025479</v>
      </c>
      <c r="DL75" s="112">
        <f t="shared" ca="1" si="185"/>
        <v>0.1195216941705277</v>
      </c>
      <c r="DM75" s="112">
        <f t="shared" ca="1" si="186"/>
        <v>9.865350412276705E-2</v>
      </c>
      <c r="DN75" s="112">
        <f t="shared" si="187"/>
        <v>0.11604479548025479</v>
      </c>
      <c r="DO75" s="112">
        <f t="shared" si="188"/>
        <v>0.1195216941705277</v>
      </c>
      <c r="DP75" s="112">
        <f t="shared" si="189"/>
        <v>9.865350412276705E-2</v>
      </c>
      <c r="DQ75" s="112">
        <f t="shared" ca="1" si="79"/>
        <v>41.14</v>
      </c>
      <c r="DR75" s="112">
        <f t="shared" ca="1" si="67"/>
        <v>0.56999999999999995</v>
      </c>
      <c r="DS75" s="112">
        <f t="shared" ca="1" si="68"/>
        <v>-0.02</v>
      </c>
      <c r="DT75" s="112">
        <f t="shared" si="241"/>
        <v>41.14</v>
      </c>
      <c r="DU75" s="112">
        <f t="shared" si="242"/>
        <v>0.56999999999999995</v>
      </c>
      <c r="DV75" s="112">
        <f t="shared" si="243"/>
        <v>-0.02</v>
      </c>
      <c r="DW75" s="260"/>
      <c r="DX75" s="168"/>
      <c r="DY75" s="168"/>
    </row>
    <row r="76" spans="1:260" s="151" customFormat="1" ht="14" customHeight="1">
      <c r="A76" s="158"/>
      <c r="B76" s="153">
        <f t="shared" ca="1" si="166"/>
        <v>50</v>
      </c>
      <c r="C76" s="154" t="str">
        <f t="shared" ca="1" si="167"/>
        <v>-</v>
      </c>
      <c r="D76" s="155">
        <f t="shared" ca="1" si="168"/>
        <v>50</v>
      </c>
      <c r="E76" s="156" t="str">
        <f t="shared" ca="1" si="169"/>
        <v>-</v>
      </c>
      <c r="F76" s="184"/>
      <c r="G76" s="195"/>
      <c r="H76" s="239">
        <v>67.12</v>
      </c>
      <c r="I76" s="240">
        <v>-22.63</v>
      </c>
      <c r="J76" s="241">
        <v>15.41</v>
      </c>
      <c r="K76" s="181"/>
      <c r="L76" s="204">
        <f t="shared" ca="1" si="170"/>
        <v>67.12</v>
      </c>
      <c r="M76" s="95">
        <f t="shared" ca="1" si="171"/>
        <v>-22.63</v>
      </c>
      <c r="N76" s="205">
        <f t="shared" ca="1" si="172"/>
        <v>15.41</v>
      </c>
      <c r="O76" s="21"/>
      <c r="P76" s="157">
        <f t="shared" ca="1" si="173"/>
        <v>0</v>
      </c>
      <c r="Q76" s="215"/>
      <c r="R76" s="289">
        <f t="shared" ca="1" si="174"/>
        <v>0</v>
      </c>
      <c r="S76" s="290"/>
      <c r="T76" s="148"/>
      <c r="U76" s="291">
        <f t="shared" ca="1" si="175"/>
        <v>0</v>
      </c>
      <c r="V76" s="292"/>
      <c r="W76" s="23"/>
      <c r="X76" s="291">
        <f t="shared" ca="1" si="176"/>
        <v>0</v>
      </c>
      <c r="Y76" s="292"/>
      <c r="Z76" s="215"/>
      <c r="AA76" s="215"/>
      <c r="AB76" s="215"/>
      <c r="AC76" s="94"/>
      <c r="AD76" s="94"/>
      <c r="AE76" s="149"/>
      <c r="AF76" s="149"/>
      <c r="AG76" s="109">
        <f t="shared" ca="1" si="104"/>
        <v>60.65</v>
      </c>
      <c r="AH76" s="109">
        <f t="shared" ca="1" si="105"/>
        <v>13.25</v>
      </c>
      <c r="AI76" s="109">
        <f t="shared" ca="1" si="106"/>
        <v>29.21</v>
      </c>
      <c r="AJ76" s="109">
        <f t="shared" ca="1" si="190"/>
        <v>32.074703428091112</v>
      </c>
      <c r="AK76" s="113">
        <f t="shared" ca="1" si="191"/>
        <v>65.600396366298355</v>
      </c>
      <c r="AL76" s="159"/>
      <c r="AM76" s="112">
        <f t="shared" si="109"/>
        <v>60.65</v>
      </c>
      <c r="AN76" s="112">
        <f t="shared" si="110"/>
        <v>13.25</v>
      </c>
      <c r="AO76" s="112">
        <f t="shared" si="111"/>
        <v>29.21</v>
      </c>
      <c r="AP76" s="113">
        <f t="shared" si="192"/>
        <v>32.074703428091112</v>
      </c>
      <c r="AQ76" s="112">
        <f t="shared" si="70"/>
        <v>65.600396366298355</v>
      </c>
      <c r="AR76" s="255"/>
      <c r="AS76" s="112">
        <f t="shared" ca="1" si="193"/>
        <v>0</v>
      </c>
      <c r="AT76" s="112">
        <f t="shared" ca="1" si="194"/>
        <v>0</v>
      </c>
      <c r="AU76" s="112">
        <f t="shared" ca="1" si="195"/>
        <v>0</v>
      </c>
      <c r="AV76" s="112">
        <f t="shared" ca="1" si="196"/>
        <v>0</v>
      </c>
      <c r="AW76" s="112">
        <f t="shared" ca="1" si="83"/>
        <v>0</v>
      </c>
      <c r="AX76" s="112">
        <f t="shared" ca="1" si="177"/>
        <v>0</v>
      </c>
      <c r="AY76" s="112">
        <f t="shared" si="197"/>
        <v>1.2002737297887316</v>
      </c>
      <c r="AZ76" s="112">
        <f t="shared" si="198"/>
        <v>2.0789216257947856</v>
      </c>
      <c r="BA76" s="112">
        <f t="shared" si="199"/>
        <v>0.90244112766111906</v>
      </c>
      <c r="BB76" s="112">
        <f t="shared" si="200"/>
        <v>0.433583260181509</v>
      </c>
      <c r="BC76" s="112">
        <f t="shared" si="201"/>
        <v>0.99910362699862332</v>
      </c>
      <c r="BD76" s="112">
        <f t="shared" ca="1" si="202"/>
        <v>60.65</v>
      </c>
      <c r="BE76" s="112">
        <f t="shared" si="203"/>
        <v>32.074703428091112</v>
      </c>
      <c r="BF76" s="112">
        <f t="shared" ca="1" si="204"/>
        <v>32.074703428091112</v>
      </c>
      <c r="BG76" s="112">
        <f t="shared" ca="1" si="205"/>
        <v>32.074703428091112</v>
      </c>
      <c r="BH76" s="112">
        <f t="shared" ca="1" si="206"/>
        <v>3.8687239587292366E-2</v>
      </c>
      <c r="BI76" s="112">
        <f t="shared" ca="1" si="207"/>
        <v>13.762605924531623</v>
      </c>
      <c r="BJ76" s="112">
        <f t="shared" ca="1" si="208"/>
        <v>13.762605924531623</v>
      </c>
      <c r="BK76" s="112">
        <f t="shared" ca="1" si="209"/>
        <v>32.289834651697319</v>
      </c>
      <c r="BL76" s="112">
        <f t="shared" ca="1" si="210"/>
        <v>32.289834651697319</v>
      </c>
      <c r="BM76" s="112">
        <f t="shared" ca="1" si="211"/>
        <v>32.289834651697319</v>
      </c>
      <c r="BN76" s="112">
        <f t="shared" ca="1" si="29"/>
        <v>64.77202616042662</v>
      </c>
      <c r="BO76" s="112">
        <f t="shared" ca="1" si="212"/>
        <v>64.77202616042662</v>
      </c>
      <c r="BP76" s="112">
        <f t="shared" ca="1" si="213"/>
        <v>64.77202616042662</v>
      </c>
      <c r="BQ76" s="112">
        <f t="shared" ca="1" si="214"/>
        <v>0.59963021815872641</v>
      </c>
      <c r="BR76" s="112">
        <f t="shared" ca="1" si="215"/>
        <v>0</v>
      </c>
      <c r="BS76" s="112">
        <f t="shared" ca="1" si="216"/>
        <v>0</v>
      </c>
      <c r="BT76" s="112">
        <f t="shared" ca="1" si="217"/>
        <v>0</v>
      </c>
      <c r="BU76" s="112">
        <f t="shared" ca="1" si="218"/>
        <v>0</v>
      </c>
      <c r="BV76" s="112">
        <f t="shared" ca="1" si="219"/>
        <v>1.1472909073752557</v>
      </c>
      <c r="BW76" s="112">
        <f t="shared" ca="1" si="220"/>
        <v>2.4530425593263794</v>
      </c>
      <c r="BX76" s="112">
        <f t="shared" ca="1" si="221"/>
        <v>1.2904294089475969</v>
      </c>
      <c r="BY76" s="112">
        <f t="shared" ca="1" si="222"/>
        <v>5.8443103368378412E-30</v>
      </c>
      <c r="BZ76" s="112">
        <f t="shared" ca="1" si="223"/>
        <v>1.8515577820352647</v>
      </c>
      <c r="CA76" s="112">
        <f t="shared" ca="1" si="224"/>
        <v>-3.7772688937168476E-31</v>
      </c>
      <c r="CB76" s="112">
        <v>1</v>
      </c>
      <c r="CC76" s="112">
        <v>1</v>
      </c>
      <c r="CD76" s="112">
        <v>1</v>
      </c>
      <c r="CE76" s="112">
        <v>1</v>
      </c>
      <c r="CF76" s="112">
        <f t="shared" ca="1" si="225"/>
        <v>2.4433616542641001</v>
      </c>
      <c r="CG76" s="112">
        <f t="shared" ca="1" si="226"/>
        <v>1.4811205514213666</v>
      </c>
      <c r="CH76" s="255"/>
      <c r="CI76" s="150" t="str">
        <f t="shared" ca="1" si="178"/>
        <v>C20M40Y70K0</v>
      </c>
      <c r="CJ76" s="125">
        <f t="shared" ca="1" si="227"/>
        <v>0</v>
      </c>
      <c r="CK76" s="125">
        <f t="shared" ca="1" si="228"/>
        <v>0</v>
      </c>
      <c r="CL76" s="125">
        <f t="shared" ca="1" si="229"/>
        <v>0</v>
      </c>
      <c r="CM76" s="112">
        <f t="shared" ca="1" si="179"/>
        <v>0</v>
      </c>
      <c r="CN76" s="112">
        <f t="shared" ca="1" si="230"/>
        <v>0</v>
      </c>
      <c r="CO76" s="112">
        <f t="shared" ca="1" si="231"/>
        <v>0</v>
      </c>
      <c r="CP76" s="112">
        <f t="shared" ca="1" si="232"/>
        <v>0</v>
      </c>
      <c r="CQ76" s="112" t="str">
        <f t="shared" ca="1" si="233"/>
        <v/>
      </c>
      <c r="CR76" s="112" t="str">
        <f t="shared" ca="1" si="234"/>
        <v/>
      </c>
      <c r="CS76" s="112" t="str">
        <f t="shared" ca="1" si="235"/>
        <v/>
      </c>
      <c r="CT76" s="112" t="str">
        <f t="shared" ca="1" si="236"/>
        <v/>
      </c>
      <c r="CU76" s="112" t="str">
        <f t="shared" ca="1" si="237"/>
        <v/>
      </c>
      <c r="CV76" s="112" t="str">
        <f t="shared" ca="1" si="238"/>
        <v/>
      </c>
      <c r="CW76" s="112" t="str">
        <f t="shared" ca="1" si="162"/>
        <v/>
      </c>
      <c r="CX76" s="112" t="str">
        <f t="shared" ca="1" si="239"/>
        <v/>
      </c>
      <c r="CY76" s="112" t="str">
        <f t="shared" ca="1" si="165"/>
        <v/>
      </c>
      <c r="CZ76" s="112" t="str">
        <f t="shared" ca="1" si="240"/>
        <v/>
      </c>
      <c r="DA76" s="112" t="str">
        <f t="shared" ca="1" si="55"/>
        <v/>
      </c>
      <c r="DB76" s="112" t="str">
        <f t="shared" ca="1" si="56"/>
        <v/>
      </c>
      <c r="DC76" s="112" t="str">
        <f t="shared" ca="1" si="163"/>
        <v/>
      </c>
      <c r="DD76" s="112" t="str">
        <f t="shared" ca="1" si="153"/>
        <v/>
      </c>
      <c r="DE76" s="112" t="str">
        <f t="shared" ca="1" si="164"/>
        <v/>
      </c>
      <c r="DF76" s="112" t="str">
        <f t="shared" ref="DF76:DF97" ca="1" si="244">IFERROR(IF(DB76="","",((($AN76-$AH76)^2+($AO76-$AI76)^2)^0.5)*(1-MAX(0,($DG76-50)/50*0.75))),((($AN76-$AH76)^2+($AO76-$AI76)^2)^0.5)*(1-MAX(0,($DJ76-50)/50*0.75)))</f>
        <v/>
      </c>
      <c r="DG76" s="125">
        <f t="shared" ca="1" si="180"/>
        <v>20</v>
      </c>
      <c r="DH76" s="125">
        <f t="shared" ca="1" si="181"/>
        <v>40</v>
      </c>
      <c r="DI76" s="125">
        <f t="shared" ca="1" si="182"/>
        <v>70</v>
      </c>
      <c r="DJ76" s="125" t="str">
        <f t="shared" ca="1" si="183"/>
        <v>-</v>
      </c>
      <c r="DK76" s="112">
        <f t="shared" ca="1" si="184"/>
        <v>0.31301157721200629</v>
      </c>
      <c r="DL76" s="112">
        <f t="shared" ca="1" si="185"/>
        <v>0.28851108890342475</v>
      </c>
      <c r="DM76" s="112">
        <f t="shared" ca="1" si="186"/>
        <v>0.11249397748540162</v>
      </c>
      <c r="DN76" s="112">
        <f t="shared" si="187"/>
        <v>0.31301157721200629</v>
      </c>
      <c r="DO76" s="112">
        <f t="shared" si="188"/>
        <v>0.28851108890342475</v>
      </c>
      <c r="DP76" s="112">
        <f t="shared" si="189"/>
        <v>0.11249397748540162</v>
      </c>
      <c r="DQ76" s="112">
        <f t="shared" ca="1" si="79"/>
        <v>60.65</v>
      </c>
      <c r="DR76" s="112">
        <f t="shared" ca="1" si="67"/>
        <v>13.25</v>
      </c>
      <c r="DS76" s="112">
        <f t="shared" ca="1" si="68"/>
        <v>29.21</v>
      </c>
      <c r="DT76" s="112">
        <f t="shared" si="241"/>
        <v>60.65</v>
      </c>
      <c r="DU76" s="112">
        <f t="shared" si="242"/>
        <v>13.25</v>
      </c>
      <c r="DV76" s="112">
        <f t="shared" si="243"/>
        <v>29.21</v>
      </c>
      <c r="DW76" s="260"/>
      <c r="DX76" s="168"/>
      <c r="DY76" s="168"/>
    </row>
    <row r="77" spans="1:260" s="93" customFormat="1" ht="14" customHeight="1">
      <c r="A77" s="158"/>
      <c r="B77" s="153">
        <f t="shared" ca="1" si="166"/>
        <v>40</v>
      </c>
      <c r="C77" s="154" t="str">
        <f t="shared" ca="1" si="167"/>
        <v>-</v>
      </c>
      <c r="D77" s="155">
        <f t="shared" ca="1" si="168"/>
        <v>70</v>
      </c>
      <c r="E77" s="156">
        <f t="shared" ca="1" si="169"/>
        <v>40</v>
      </c>
      <c r="F77" s="184"/>
      <c r="G77" s="195"/>
      <c r="H77" s="239">
        <v>50.93</v>
      </c>
      <c r="I77" s="240">
        <v>-12.96</v>
      </c>
      <c r="J77" s="241">
        <v>19.649999999999999</v>
      </c>
      <c r="K77" s="181"/>
      <c r="L77" s="204">
        <f t="shared" ca="1" si="170"/>
        <v>50.93</v>
      </c>
      <c r="M77" s="95">
        <f t="shared" ca="1" si="171"/>
        <v>-12.96</v>
      </c>
      <c r="N77" s="205">
        <f t="shared" ca="1" si="172"/>
        <v>19.649999999999999</v>
      </c>
      <c r="O77" s="21"/>
      <c r="P77" s="157">
        <f t="shared" ca="1" si="173"/>
        <v>0</v>
      </c>
      <c r="Q77" s="215"/>
      <c r="R77" s="289">
        <f t="shared" ca="1" si="174"/>
        <v>0</v>
      </c>
      <c r="S77" s="290"/>
      <c r="T77" s="148"/>
      <c r="U77" s="291">
        <f t="shared" ca="1" si="175"/>
        <v>0</v>
      </c>
      <c r="V77" s="292"/>
      <c r="W77" s="23"/>
      <c r="X77" s="291">
        <f t="shared" ca="1" si="176"/>
        <v>0</v>
      </c>
      <c r="Y77" s="292"/>
      <c r="AB77" s="215"/>
      <c r="AC77" s="94"/>
      <c r="AD77" s="94"/>
      <c r="AE77" s="149"/>
      <c r="AF77" s="149"/>
      <c r="AG77" s="109">
        <f t="shared" ca="1" si="104"/>
        <v>33.65</v>
      </c>
      <c r="AH77" s="109">
        <f t="shared" ca="1" si="105"/>
        <v>0.82</v>
      </c>
      <c r="AI77" s="109">
        <f t="shared" ca="1" si="106"/>
        <v>1.74</v>
      </c>
      <c r="AJ77" s="109">
        <f t="shared" ca="1" si="190"/>
        <v>1.9235384061671346</v>
      </c>
      <c r="AK77" s="113">
        <f t="shared" ca="1" si="191"/>
        <v>64.767168676791655</v>
      </c>
      <c r="AL77" s="159"/>
      <c r="AM77" s="112">
        <f t="shared" si="109"/>
        <v>33.65</v>
      </c>
      <c r="AN77" s="112">
        <f t="shared" si="110"/>
        <v>0.82</v>
      </c>
      <c r="AO77" s="112">
        <f t="shared" si="111"/>
        <v>1.74</v>
      </c>
      <c r="AP77" s="113">
        <f t="shared" si="192"/>
        <v>1.9235384061671346</v>
      </c>
      <c r="AQ77" s="112">
        <f t="shared" si="70"/>
        <v>64.767168676791655</v>
      </c>
      <c r="AR77" s="255"/>
      <c r="AS77" s="112">
        <f t="shared" ca="1" si="193"/>
        <v>0</v>
      </c>
      <c r="AT77" s="112">
        <f t="shared" ca="1" si="194"/>
        <v>0</v>
      </c>
      <c r="AU77" s="112">
        <f t="shared" ca="1" si="195"/>
        <v>0</v>
      </c>
      <c r="AV77" s="112">
        <f t="shared" ca="1" si="196"/>
        <v>0</v>
      </c>
      <c r="AW77" s="112">
        <f t="shared" ca="1" si="83"/>
        <v>0</v>
      </c>
      <c r="AX77" s="112">
        <f t="shared" ca="1" si="177"/>
        <v>0</v>
      </c>
      <c r="AY77" s="112">
        <f t="shared" si="197"/>
        <v>0.86504127396407293</v>
      </c>
      <c r="AZ77" s="112">
        <f t="shared" si="198"/>
        <v>0.7577053720774013</v>
      </c>
      <c r="BA77" s="112">
        <f t="shared" si="199"/>
        <v>0.72103881083656185</v>
      </c>
      <c r="BB77" s="112">
        <f t="shared" si="200"/>
        <v>0.42785792722154642</v>
      </c>
      <c r="BC77" s="112">
        <f t="shared" si="201"/>
        <v>8.4579659090552164E-2</v>
      </c>
      <c r="BD77" s="112">
        <f t="shared" ca="1" si="202"/>
        <v>33.65</v>
      </c>
      <c r="BE77" s="112">
        <f t="shared" si="203"/>
        <v>1.9235384061671346</v>
      </c>
      <c r="BF77" s="112">
        <f t="shared" ca="1" si="204"/>
        <v>1.9235384061671346</v>
      </c>
      <c r="BG77" s="112">
        <f t="shared" ca="1" si="205"/>
        <v>1.9235384061671346</v>
      </c>
      <c r="BH77" s="112">
        <f t="shared" ca="1" si="206"/>
        <v>0.49993682678381585</v>
      </c>
      <c r="BI77" s="112">
        <f t="shared" ca="1" si="207"/>
        <v>1.2299481979627289</v>
      </c>
      <c r="BJ77" s="112">
        <f t="shared" ca="1" si="208"/>
        <v>1.2299481979627289</v>
      </c>
      <c r="BK77" s="112">
        <f t="shared" ca="1" si="209"/>
        <v>2.1308150012780942</v>
      </c>
      <c r="BL77" s="112">
        <f t="shared" ca="1" si="210"/>
        <v>2.1308150012780942</v>
      </c>
      <c r="BM77" s="112">
        <f t="shared" ca="1" si="211"/>
        <v>2.1308150012780942</v>
      </c>
      <c r="BN77" s="112">
        <f t="shared" ca="1" si="29"/>
        <v>54.744778707756446</v>
      </c>
      <c r="BO77" s="112">
        <f t="shared" ca="1" si="212"/>
        <v>54.744778707756446</v>
      </c>
      <c r="BP77" s="112">
        <f t="shared" ca="1" si="213"/>
        <v>54.744778707756446</v>
      </c>
      <c r="BQ77" s="112">
        <f t="shared" ca="1" si="214"/>
        <v>0.63285307846953809</v>
      </c>
      <c r="BR77" s="112">
        <f t="shared" ca="1" si="215"/>
        <v>0</v>
      </c>
      <c r="BS77" s="112">
        <f t="shared" ca="1" si="216"/>
        <v>0</v>
      </c>
      <c r="BT77" s="112">
        <f t="shared" ca="1" si="217"/>
        <v>0</v>
      </c>
      <c r="BU77" s="112">
        <f t="shared" ca="1" si="218"/>
        <v>0</v>
      </c>
      <c r="BV77" s="112">
        <f t="shared" ca="1" si="219"/>
        <v>1.2365603503716955</v>
      </c>
      <c r="BW77" s="112">
        <f t="shared" ca="1" si="220"/>
        <v>1.0958866750575142</v>
      </c>
      <c r="BX77" s="112">
        <f t="shared" ca="1" si="221"/>
        <v>1.0202273924981187</v>
      </c>
      <c r="BY77" s="112">
        <f t="shared" ca="1" si="222"/>
        <v>5.8516603417269792E-33</v>
      </c>
      <c r="BZ77" s="112">
        <f t="shared" ca="1" si="223"/>
        <v>3.6153476727380623E-4</v>
      </c>
      <c r="CA77" s="112">
        <f t="shared" ca="1" si="224"/>
        <v>-7.3847626397283784E-38</v>
      </c>
      <c r="CB77" s="112">
        <v>1</v>
      </c>
      <c r="CC77" s="112">
        <v>1</v>
      </c>
      <c r="CD77" s="112">
        <v>1</v>
      </c>
      <c r="CE77" s="112">
        <v>1</v>
      </c>
      <c r="CF77" s="112">
        <f t="shared" ca="1" si="225"/>
        <v>1.0865592282775212</v>
      </c>
      <c r="CG77" s="112">
        <f t="shared" ca="1" si="226"/>
        <v>1.028853076092507</v>
      </c>
      <c r="CH77" s="174"/>
      <c r="CI77" s="150" t="str">
        <f t="shared" ca="1" si="178"/>
        <v>C0M0Y0K90</v>
      </c>
      <c r="CJ77" s="125">
        <f t="shared" ca="1" si="227"/>
        <v>0</v>
      </c>
      <c r="CK77" s="125">
        <f t="shared" ca="1" si="228"/>
        <v>0</v>
      </c>
      <c r="CL77" s="125">
        <f t="shared" ca="1" si="229"/>
        <v>0</v>
      </c>
      <c r="CM77" s="112">
        <f t="shared" ca="1" si="179"/>
        <v>0</v>
      </c>
      <c r="CN77" s="112">
        <f t="shared" ca="1" si="230"/>
        <v>0</v>
      </c>
      <c r="CO77" s="112">
        <f t="shared" ca="1" si="231"/>
        <v>0</v>
      </c>
      <c r="CP77" s="112">
        <f t="shared" ca="1" si="232"/>
        <v>0</v>
      </c>
      <c r="CQ77" s="112" t="str">
        <f t="shared" ca="1" si="233"/>
        <v/>
      </c>
      <c r="CR77" s="112" t="str">
        <f t="shared" ca="1" si="234"/>
        <v/>
      </c>
      <c r="CS77" s="112" t="str">
        <f t="shared" ca="1" si="235"/>
        <v/>
      </c>
      <c r="CT77" s="112" t="str">
        <f t="shared" ca="1" si="236"/>
        <v/>
      </c>
      <c r="CU77" s="112" t="str">
        <f t="shared" ca="1" si="237"/>
        <v/>
      </c>
      <c r="CV77" s="112" t="str">
        <f t="shared" ca="1" si="238"/>
        <v/>
      </c>
      <c r="CW77" s="112" t="str">
        <f t="shared" ca="1" si="162"/>
        <v/>
      </c>
      <c r="CX77" s="112" t="str">
        <f t="shared" ca="1" si="239"/>
        <v/>
      </c>
      <c r="CY77" s="112" t="str">
        <f t="shared" ca="1" si="165"/>
        <v/>
      </c>
      <c r="CZ77" s="112" t="str">
        <f t="shared" ca="1" si="240"/>
        <v/>
      </c>
      <c r="DA77" s="112" t="str">
        <f t="shared" ca="1" si="55"/>
        <v/>
      </c>
      <c r="DB77" s="112" t="str">
        <f t="shared" ca="1" si="56"/>
        <v>C0M0Y0K90</v>
      </c>
      <c r="DC77" s="112">
        <f t="shared" ca="1" si="163"/>
        <v>0</v>
      </c>
      <c r="DD77" s="112">
        <f t="shared" ca="1" si="153"/>
        <v>0</v>
      </c>
      <c r="DE77" s="112">
        <f t="shared" ca="1" si="164"/>
        <v>0</v>
      </c>
      <c r="DF77" s="112">
        <f t="shared" ca="1" si="244"/>
        <v>0</v>
      </c>
      <c r="DG77" s="125" t="str">
        <f t="shared" ca="1" si="180"/>
        <v>-</v>
      </c>
      <c r="DH77" s="125" t="str">
        <f t="shared" ca="1" si="181"/>
        <v>-</v>
      </c>
      <c r="DI77" s="125" t="str">
        <f t="shared" ca="1" si="182"/>
        <v>-</v>
      </c>
      <c r="DJ77" s="125">
        <f t="shared" ca="1" si="183"/>
        <v>90</v>
      </c>
      <c r="DK77" s="112">
        <f t="shared" ca="1" si="184"/>
        <v>7.6477473872140711E-2</v>
      </c>
      <c r="DL77" s="112">
        <f t="shared" ca="1" si="185"/>
        <v>7.8412227416176344E-2</v>
      </c>
      <c r="DM77" s="112">
        <f t="shared" ca="1" si="186"/>
        <v>6.0817625996726597E-2</v>
      </c>
      <c r="DN77" s="112">
        <f t="shared" si="187"/>
        <v>7.6477473872140711E-2</v>
      </c>
      <c r="DO77" s="112">
        <f t="shared" si="188"/>
        <v>7.8412227416176344E-2</v>
      </c>
      <c r="DP77" s="112">
        <f t="shared" si="189"/>
        <v>6.0817625996726597E-2</v>
      </c>
      <c r="DQ77" s="112">
        <f t="shared" ca="1" si="79"/>
        <v>33.65</v>
      </c>
      <c r="DR77" s="112">
        <f t="shared" ca="1" si="67"/>
        <v>0.82</v>
      </c>
      <c r="DS77" s="112">
        <f t="shared" ca="1" si="68"/>
        <v>1.74</v>
      </c>
      <c r="DT77" s="112">
        <f t="shared" si="241"/>
        <v>33.65</v>
      </c>
      <c r="DU77" s="112">
        <f t="shared" si="242"/>
        <v>0.82</v>
      </c>
      <c r="DV77" s="112">
        <f t="shared" si="243"/>
        <v>1.74</v>
      </c>
      <c r="DW77" s="260"/>
      <c r="DX77" s="168"/>
      <c r="DY77" s="168"/>
      <c r="DZ77" s="151"/>
      <c r="EA77" s="151"/>
      <c r="EB77" s="151"/>
      <c r="EC77" s="151"/>
      <c r="ED77" s="151"/>
      <c r="EE77" s="151"/>
      <c r="EF77" s="160"/>
      <c r="EG77" s="160"/>
      <c r="EH77" s="160"/>
      <c r="EI77" s="160"/>
      <c r="EJ77" s="160"/>
      <c r="EK77" s="160"/>
      <c r="EL77" s="160"/>
      <c r="EM77" s="160"/>
      <c r="EN77" s="160"/>
      <c r="EO77" s="160"/>
      <c r="EP77" s="160"/>
      <c r="EQ77" s="160"/>
      <c r="ER77" s="160"/>
      <c r="ES77" s="160"/>
      <c r="ET77" s="160"/>
      <c r="EU77" s="160"/>
      <c r="EV77" s="160"/>
      <c r="EW77" s="160"/>
      <c r="EX77" s="160"/>
      <c r="EY77" s="160"/>
      <c r="EZ77" s="160"/>
      <c r="FA77" s="160"/>
      <c r="FB77" s="160"/>
      <c r="FC77" s="160"/>
      <c r="FD77" s="160"/>
      <c r="FE77" s="160"/>
      <c r="FF77" s="160"/>
      <c r="FG77" s="160"/>
      <c r="FH77" s="160"/>
      <c r="FI77" s="160"/>
      <c r="FJ77" s="160"/>
      <c r="FK77" s="160"/>
      <c r="FL77" s="160"/>
      <c r="FM77" s="160"/>
      <c r="FN77" s="160"/>
      <c r="FO77" s="160"/>
      <c r="FP77" s="160"/>
      <c r="FQ77" s="160"/>
      <c r="FR77" s="160"/>
      <c r="FS77" s="160"/>
      <c r="FT77" s="160"/>
      <c r="FU77" s="160"/>
      <c r="FV77" s="160"/>
      <c r="FW77" s="160"/>
      <c r="FX77" s="160"/>
      <c r="FY77" s="160"/>
      <c r="FZ77" s="160"/>
      <c r="GA77" s="160"/>
      <c r="GB77" s="160"/>
      <c r="GC77" s="160"/>
      <c r="GD77" s="160"/>
      <c r="GE77" s="160"/>
      <c r="GF77" s="160"/>
      <c r="GG77" s="160"/>
      <c r="GH77" s="160"/>
      <c r="GI77" s="160"/>
      <c r="GJ77" s="160"/>
      <c r="GK77" s="160"/>
      <c r="GL77" s="160"/>
      <c r="GM77" s="160"/>
      <c r="GN77" s="160"/>
      <c r="GO77" s="160"/>
      <c r="GP77" s="160"/>
      <c r="GQ77" s="160"/>
      <c r="GR77" s="160"/>
      <c r="GS77" s="160"/>
      <c r="GT77" s="160"/>
      <c r="GU77" s="160"/>
      <c r="GV77" s="160"/>
      <c r="GW77" s="160"/>
      <c r="GX77" s="160"/>
      <c r="GY77" s="160"/>
      <c r="GZ77" s="160"/>
      <c r="HA77" s="160"/>
      <c r="HB77" s="160"/>
      <c r="HC77" s="160"/>
      <c r="HD77" s="160"/>
      <c r="HE77" s="160"/>
      <c r="HF77" s="160"/>
      <c r="HG77" s="160"/>
      <c r="HH77" s="160"/>
      <c r="HI77" s="160"/>
      <c r="HJ77" s="160"/>
      <c r="HK77" s="160"/>
      <c r="HL77" s="160"/>
      <c r="HM77" s="160"/>
      <c r="HN77" s="160"/>
      <c r="HO77" s="160"/>
      <c r="HP77" s="160"/>
      <c r="HQ77" s="160"/>
      <c r="HR77" s="160"/>
      <c r="HS77" s="160"/>
      <c r="HT77" s="160"/>
      <c r="HU77" s="160"/>
      <c r="HV77" s="160"/>
      <c r="HW77" s="160"/>
      <c r="HX77" s="160"/>
      <c r="HY77" s="160"/>
      <c r="HZ77" s="160"/>
      <c r="IA77" s="160"/>
      <c r="IB77" s="160"/>
      <c r="IC77" s="160"/>
      <c r="ID77" s="160"/>
      <c r="IE77" s="160"/>
      <c r="IF77" s="160"/>
      <c r="IG77" s="160"/>
      <c r="IH77" s="160"/>
      <c r="II77" s="160"/>
      <c r="IJ77" s="160"/>
      <c r="IK77" s="160"/>
      <c r="IL77" s="160"/>
      <c r="IM77" s="160"/>
      <c r="IN77" s="160"/>
      <c r="IO77" s="160"/>
      <c r="IP77" s="160"/>
      <c r="IQ77" s="160"/>
      <c r="IR77" s="160"/>
      <c r="IS77" s="160"/>
      <c r="IT77" s="160"/>
      <c r="IU77" s="160"/>
      <c r="IV77" s="160"/>
      <c r="IW77" s="160"/>
      <c r="IX77" s="160"/>
      <c r="IY77" s="160"/>
      <c r="IZ77" s="160"/>
    </row>
    <row r="78" spans="1:260" s="151" customFormat="1" ht="14" customHeight="1">
      <c r="A78" s="158"/>
      <c r="B78" s="153" t="str">
        <f t="shared" ca="1" si="166"/>
        <v>-</v>
      </c>
      <c r="C78" s="154" t="str">
        <f t="shared" ca="1" si="167"/>
        <v>-</v>
      </c>
      <c r="D78" s="155">
        <f t="shared" ca="1" si="168"/>
        <v>10</v>
      </c>
      <c r="E78" s="156" t="str">
        <f t="shared" ca="1" si="169"/>
        <v>-</v>
      </c>
      <c r="F78" s="184"/>
      <c r="G78" s="195"/>
      <c r="H78" s="239">
        <v>86.21</v>
      </c>
      <c r="I78" s="240">
        <v>-0.79</v>
      </c>
      <c r="J78" s="241">
        <v>11.08</v>
      </c>
      <c r="K78" s="181"/>
      <c r="L78" s="204">
        <f t="shared" ca="1" si="170"/>
        <v>86.21</v>
      </c>
      <c r="M78" s="95">
        <f t="shared" ca="1" si="171"/>
        <v>-0.79</v>
      </c>
      <c r="N78" s="205">
        <f t="shared" ca="1" si="172"/>
        <v>11.08</v>
      </c>
      <c r="O78" s="21"/>
      <c r="P78" s="157">
        <f t="shared" ca="1" si="173"/>
        <v>0</v>
      </c>
      <c r="Q78" s="215"/>
      <c r="R78" s="289">
        <f t="shared" ca="1" si="174"/>
        <v>0</v>
      </c>
      <c r="S78" s="290"/>
      <c r="T78" s="148"/>
      <c r="U78" s="291">
        <f t="shared" ca="1" si="175"/>
        <v>0</v>
      </c>
      <c r="V78" s="292"/>
      <c r="W78" s="23"/>
      <c r="X78" s="291">
        <f t="shared" ca="1" si="176"/>
        <v>0</v>
      </c>
      <c r="Y78" s="292"/>
      <c r="Z78" s="215"/>
      <c r="AA78" s="215"/>
      <c r="AB78" s="93"/>
      <c r="AC78" s="161"/>
      <c r="AD78" s="94"/>
      <c r="AE78" s="149"/>
      <c r="AF78" s="149"/>
      <c r="AG78" s="109">
        <f t="shared" ref="AG78:AG97" ca="1" si="245">L100</f>
        <v>34.979999999999997</v>
      </c>
      <c r="AH78" s="109">
        <f t="shared" ref="AH78:AH97" ca="1" si="246">M100</f>
        <v>0.79</v>
      </c>
      <c r="AI78" s="109">
        <f t="shared" ref="AI78:AI97" ca="1" si="247">N100</f>
        <v>-0.4</v>
      </c>
      <c r="AJ78" s="109">
        <f t="shared" ca="1" si="190"/>
        <v>0.88549421229051528</v>
      </c>
      <c r="AK78" s="113">
        <f t="shared" ca="1" si="191"/>
        <v>333.14557865948143</v>
      </c>
      <c r="AL78" s="159"/>
      <c r="AM78" s="112">
        <f t="shared" ref="AM78:AM97" si="248">H100</f>
        <v>34.979999999999997</v>
      </c>
      <c r="AN78" s="112">
        <f t="shared" ref="AN78:AN97" si="249">I100</f>
        <v>0.79</v>
      </c>
      <c r="AO78" s="112">
        <f t="shared" ref="AO78:AO97" si="250">J100</f>
        <v>-0.4</v>
      </c>
      <c r="AP78" s="113">
        <f t="shared" si="192"/>
        <v>0.88549421229051528</v>
      </c>
      <c r="AQ78" s="112">
        <f t="shared" si="70"/>
        <v>333.14557865948143</v>
      </c>
      <c r="AR78" s="255"/>
      <c r="AS78" s="112">
        <f t="shared" ca="1" si="193"/>
        <v>0</v>
      </c>
      <c r="AT78" s="112">
        <f t="shared" ca="1" si="194"/>
        <v>0</v>
      </c>
      <c r="AU78" s="112">
        <f t="shared" ca="1" si="195"/>
        <v>0</v>
      </c>
      <c r="AV78" s="112">
        <f t="shared" ca="1" si="196"/>
        <v>0</v>
      </c>
      <c r="AW78" s="112">
        <f t="shared" ca="1" si="83"/>
        <v>0</v>
      </c>
      <c r="AX78" s="112">
        <f t="shared" ca="1" si="177"/>
        <v>0</v>
      </c>
      <c r="AY78" s="112">
        <f t="shared" si="197"/>
        <v>0.88618038737551741</v>
      </c>
      <c r="AZ78" s="112">
        <f t="shared" si="198"/>
        <v>0.69384671034602685</v>
      </c>
      <c r="BA78" s="112">
        <f t="shared" si="199"/>
        <v>0.69029946919161</v>
      </c>
      <c r="BB78" s="112">
        <f t="shared" si="200"/>
        <v>0.71574848907682453</v>
      </c>
      <c r="BC78" s="112">
        <f t="shared" si="201"/>
        <v>1.798557799032894E-2</v>
      </c>
      <c r="BD78" s="112">
        <f t="shared" ca="1" si="202"/>
        <v>34.979999999999997</v>
      </c>
      <c r="BE78" s="112">
        <f t="shared" si="203"/>
        <v>0.88549421229051528</v>
      </c>
      <c r="BF78" s="112">
        <f t="shared" ca="1" si="204"/>
        <v>0.88549421229051528</v>
      </c>
      <c r="BG78" s="112">
        <f t="shared" ca="1" si="205"/>
        <v>0.88549421229051528</v>
      </c>
      <c r="BH78" s="112">
        <f t="shared" ca="1" si="206"/>
        <v>0.4999958185200547</v>
      </c>
      <c r="BI78" s="112">
        <f t="shared" ca="1" si="207"/>
        <v>1.1849966966308432</v>
      </c>
      <c r="BJ78" s="112">
        <f t="shared" ca="1" si="208"/>
        <v>1.1849966966308432</v>
      </c>
      <c r="BK78" s="112">
        <f t="shared" ca="1" si="209"/>
        <v>1.2506866797987457</v>
      </c>
      <c r="BL78" s="112">
        <f t="shared" ca="1" si="210"/>
        <v>1.2506866797987457</v>
      </c>
      <c r="BM78" s="112">
        <f t="shared" ca="1" si="211"/>
        <v>1.2506866797987457</v>
      </c>
      <c r="BN78" s="112">
        <f t="shared" ref="BN78:BN80" ca="1" si="251">IFERROR(IF(DEGREES(ATAN2(BI78,AO78))&gt;=0,DEGREES(ATAN2(BI78,AO78)),DEGREES(ATAN2(BI78,AO78))+360),0)</f>
        <v>341.34769997802198</v>
      </c>
      <c r="BO78" s="112">
        <f t="shared" ca="1" si="212"/>
        <v>341.34769997802198</v>
      </c>
      <c r="BP78" s="112">
        <f t="shared" ca="1" si="213"/>
        <v>341.34769997802198</v>
      </c>
      <c r="BQ78" s="112">
        <f t="shared" ca="1" si="214"/>
        <v>1.4321844847747491</v>
      </c>
      <c r="BR78" s="112">
        <f t="shared" ca="1" si="215"/>
        <v>0</v>
      </c>
      <c r="BS78" s="112">
        <f t="shared" ca="1" si="216"/>
        <v>0</v>
      </c>
      <c r="BT78" s="112">
        <f t="shared" ca="1" si="217"/>
        <v>0</v>
      </c>
      <c r="BU78" s="112">
        <f t="shared" ca="1" si="218"/>
        <v>0</v>
      </c>
      <c r="BV78" s="112">
        <f t="shared" ca="1" si="219"/>
        <v>1.2159317922738064</v>
      </c>
      <c r="BW78" s="112">
        <f t="shared" ca="1" si="220"/>
        <v>1.0562809005909435</v>
      </c>
      <c r="BX78" s="112">
        <f t="shared" ca="1" si="221"/>
        <v>1.0268682108718332</v>
      </c>
      <c r="BY78" s="112">
        <f t="shared" ca="1" si="222"/>
        <v>2.6199098265999653E-2</v>
      </c>
      <c r="BZ78" s="112">
        <f t="shared" ca="1" si="223"/>
        <v>5.6009255631405331E-5</v>
      </c>
      <c r="CA78" s="112">
        <f t="shared" ca="1" si="224"/>
        <v>-5.1221636218972519E-8</v>
      </c>
      <c r="CB78" s="112">
        <v>1</v>
      </c>
      <c r="CC78" s="112">
        <v>1</v>
      </c>
      <c r="CD78" s="112">
        <v>1</v>
      </c>
      <c r="CE78" s="112">
        <v>1</v>
      </c>
      <c r="CF78" s="112">
        <f t="shared" ca="1" si="225"/>
        <v>1.0398472395530731</v>
      </c>
      <c r="CG78" s="112">
        <f t="shared" ca="1" si="226"/>
        <v>1.0132824131843576</v>
      </c>
      <c r="CH78" s="255"/>
      <c r="CI78" s="150" t="str">
        <f t="shared" ca="1" si="178"/>
        <v>C90M85Y85K0</v>
      </c>
      <c r="CJ78" s="125">
        <f t="shared" ca="1" si="227"/>
        <v>0</v>
      </c>
      <c r="CK78" s="125">
        <f t="shared" ca="1" si="228"/>
        <v>0</v>
      </c>
      <c r="CL78" s="125">
        <f t="shared" ca="1" si="229"/>
        <v>0</v>
      </c>
      <c r="CM78" s="112">
        <f t="shared" ca="1" si="179"/>
        <v>0</v>
      </c>
      <c r="CN78" s="112">
        <f t="shared" ca="1" si="230"/>
        <v>0</v>
      </c>
      <c r="CO78" s="112">
        <f t="shared" ca="1" si="231"/>
        <v>0</v>
      </c>
      <c r="CP78" s="112">
        <f t="shared" ca="1" si="232"/>
        <v>0</v>
      </c>
      <c r="CQ78" s="112" t="str">
        <f t="shared" ca="1" si="233"/>
        <v/>
      </c>
      <c r="CR78" s="112" t="str">
        <f t="shared" ca="1" si="234"/>
        <v/>
      </c>
      <c r="CS78" s="112" t="str">
        <f t="shared" ca="1" si="235"/>
        <v/>
      </c>
      <c r="CT78" s="112" t="str">
        <f t="shared" ca="1" si="236"/>
        <v/>
      </c>
      <c r="CU78" s="112" t="str">
        <f t="shared" ca="1" si="237"/>
        <v/>
      </c>
      <c r="CV78" s="112" t="str">
        <f t="shared" ca="1" si="238"/>
        <v/>
      </c>
      <c r="CW78" s="112" t="str">
        <f t="shared" ca="1" si="162"/>
        <v>C90M85Y85K0</v>
      </c>
      <c r="CX78" s="112">
        <f t="shared" ca="1" si="239"/>
        <v>0</v>
      </c>
      <c r="CY78" s="112">
        <f t="shared" ca="1" si="165"/>
        <v>0</v>
      </c>
      <c r="CZ78" s="112">
        <f t="shared" ca="1" si="240"/>
        <v>0</v>
      </c>
      <c r="DA78" s="112">
        <f t="shared" ref="DA78:DA97" ca="1" si="252">IFERROR(IF(CW78="","",((($AN78-$AH78)^2+($AO78-$AI78)^2)^0.5)*(1-MAX(0,($DG78-50)/50*0.75))),((($AN78-$AH78)^2+($AO78-$AI78)^2)^0.5)*(1-MAX(0,($DJ78-50)/50*0.75)))</f>
        <v>0</v>
      </c>
      <c r="DB78" s="112" t="str">
        <f t="shared" ref="DB78:DB79" ca="1" si="253">IF(OR(CI78="C90M85Y85K0",CI78="C75M66Y66K0",CI78="C50M40Y40K0",CI78="C25M19Y19K0",CI78="C10M7Y7K0",CI78="C3M2Y2K0",CI78="C0M0Y0K90",CI78="C0M0Y0K75",CI78="C0M0Y0K50",CI78="C0M0Y0K25",CI78="C0M0Y0K10",CI78="C0M0Y0K3"),CI78,"")</f>
        <v>C90M85Y85K0</v>
      </c>
      <c r="DC78" s="112">
        <f t="shared" ca="1" si="163"/>
        <v>0</v>
      </c>
      <c r="DD78" s="112">
        <f t="shared" ref="DD78:DD97" ca="1" si="254">IF(DB78="","",AX78)</f>
        <v>0</v>
      </c>
      <c r="DE78" s="112">
        <f t="shared" ca="1" si="164"/>
        <v>0</v>
      </c>
      <c r="DF78" s="112">
        <f t="shared" ca="1" si="244"/>
        <v>0</v>
      </c>
      <c r="DG78" s="125">
        <f t="shared" ca="1" si="180"/>
        <v>90</v>
      </c>
      <c r="DH78" s="125">
        <f t="shared" ca="1" si="181"/>
        <v>85.341999999999999</v>
      </c>
      <c r="DI78" s="125">
        <f t="shared" ca="1" si="182"/>
        <v>85.341999999999999</v>
      </c>
      <c r="DJ78" s="125" t="str">
        <f t="shared" ca="1" si="183"/>
        <v>-</v>
      </c>
      <c r="DK78" s="112">
        <f t="shared" ca="1" si="184"/>
        <v>8.2731004115058487E-2</v>
      </c>
      <c r="DL78" s="112">
        <f t="shared" ca="1" si="185"/>
        <v>8.4883939219525181E-2</v>
      </c>
      <c r="DM78" s="112">
        <f t="shared" ca="1" si="186"/>
        <v>7.0981070747128297E-2</v>
      </c>
      <c r="DN78" s="112">
        <f t="shared" si="187"/>
        <v>8.2731004115058487E-2</v>
      </c>
      <c r="DO78" s="112">
        <f t="shared" si="188"/>
        <v>8.4883939219525181E-2</v>
      </c>
      <c r="DP78" s="112">
        <f t="shared" si="189"/>
        <v>7.0981070747128297E-2</v>
      </c>
      <c r="DQ78" s="112">
        <f t="shared" ca="1" si="79"/>
        <v>34.979999999999997</v>
      </c>
      <c r="DR78" s="112">
        <f t="shared" ref="DR78:DR97" ca="1" si="255">AH78</f>
        <v>0.79</v>
      </c>
      <c r="DS78" s="112">
        <f t="shared" ref="DS78:DS97" ca="1" si="256">AI78</f>
        <v>-0.4</v>
      </c>
      <c r="DT78" s="112">
        <f t="shared" si="241"/>
        <v>34.979999999999997</v>
      </c>
      <c r="DU78" s="112">
        <f t="shared" si="242"/>
        <v>0.79</v>
      </c>
      <c r="DV78" s="112">
        <f t="shared" si="243"/>
        <v>-0.4</v>
      </c>
      <c r="DW78" s="260"/>
      <c r="DX78" s="168"/>
      <c r="DY78" s="168"/>
    </row>
    <row r="79" spans="1:260" s="151" customFormat="1" ht="14" customHeight="1">
      <c r="A79" s="158"/>
      <c r="B79" s="153">
        <f t="shared" ca="1" si="166"/>
        <v>25</v>
      </c>
      <c r="C79" s="154" t="str">
        <f t="shared" ca="1" si="167"/>
        <v>-</v>
      </c>
      <c r="D79" s="155">
        <f t="shared" ca="1" si="168"/>
        <v>25</v>
      </c>
      <c r="E79" s="156" t="str">
        <f t="shared" ca="1" si="169"/>
        <v>-</v>
      </c>
      <c r="F79" s="184"/>
      <c r="G79" s="195"/>
      <c r="H79" s="239">
        <v>76.34</v>
      </c>
      <c r="I79" s="240">
        <v>-11.32</v>
      </c>
      <c r="J79" s="241">
        <v>10.18</v>
      </c>
      <c r="K79" s="181"/>
      <c r="L79" s="204">
        <f t="shared" ca="1" si="170"/>
        <v>76.34</v>
      </c>
      <c r="M79" s="95">
        <f t="shared" ca="1" si="171"/>
        <v>-11.32</v>
      </c>
      <c r="N79" s="205">
        <f t="shared" ca="1" si="172"/>
        <v>10.18</v>
      </c>
      <c r="O79" s="21"/>
      <c r="P79" s="157">
        <f t="shared" ca="1" si="173"/>
        <v>0</v>
      </c>
      <c r="Q79" s="215"/>
      <c r="R79" s="289">
        <f t="shared" ca="1" si="174"/>
        <v>0</v>
      </c>
      <c r="S79" s="290"/>
      <c r="T79" s="148"/>
      <c r="U79" s="291">
        <f t="shared" ca="1" si="175"/>
        <v>0</v>
      </c>
      <c r="V79" s="292"/>
      <c r="W79" s="23"/>
      <c r="X79" s="291">
        <f t="shared" ca="1" si="176"/>
        <v>0</v>
      </c>
      <c r="Y79" s="292"/>
      <c r="Z79" s="215"/>
      <c r="AA79" s="215"/>
      <c r="AB79" s="215"/>
      <c r="AC79" s="94"/>
      <c r="AD79" s="94"/>
      <c r="AE79" s="149"/>
      <c r="AF79" s="149"/>
      <c r="AG79" s="109">
        <f t="shared" ca="1" si="245"/>
        <v>51.58</v>
      </c>
      <c r="AH79" s="109">
        <f t="shared" ca="1" si="246"/>
        <v>31.31</v>
      </c>
      <c r="AI79" s="109">
        <f t="shared" ca="1" si="247"/>
        <v>19.809999999999999</v>
      </c>
      <c r="AJ79" s="109">
        <f t="shared" ca="1" si="190"/>
        <v>37.050670709178803</v>
      </c>
      <c r="AK79" s="113">
        <f t="shared" ca="1" si="191"/>
        <v>32.32175013121185</v>
      </c>
      <c r="AL79" s="159"/>
      <c r="AM79" s="112">
        <f t="shared" si="248"/>
        <v>51.58</v>
      </c>
      <c r="AN79" s="112">
        <f t="shared" si="249"/>
        <v>31.31</v>
      </c>
      <c r="AO79" s="112">
        <f t="shared" si="250"/>
        <v>19.809999999999999</v>
      </c>
      <c r="AP79" s="113">
        <f t="shared" si="192"/>
        <v>37.050670709178803</v>
      </c>
      <c r="AQ79" s="112">
        <f t="shared" ref="AQ79:AQ97" si="257">IF(AN79="","",IFERROR(IF(DEGREES(ATAN2(AN79,AO79))&lt;0,DEGREES(ATAN2(AN79,AO79))+360,IF(DEGREES(ATAN2(AN79,AO79))&gt;360,DEGREES(ATAN2(AN79,AO79))-360,DEGREES(ATAN2(AN79,AO79)))),0))</f>
        <v>32.32175013121185</v>
      </c>
      <c r="AR79" s="255"/>
      <c r="AS79" s="112">
        <f t="shared" ca="1" si="193"/>
        <v>0</v>
      </c>
      <c r="AT79" s="112">
        <f t="shared" ca="1" si="194"/>
        <v>0</v>
      </c>
      <c r="AU79" s="112">
        <f t="shared" ca="1" si="195"/>
        <v>0</v>
      </c>
      <c r="AV79" s="112">
        <f t="shared" ca="1" si="196"/>
        <v>0</v>
      </c>
      <c r="AW79" s="112">
        <f t="shared" ca="1" si="83"/>
        <v>0</v>
      </c>
      <c r="AX79" s="112">
        <f t="shared" ca="1" si="177"/>
        <v>0</v>
      </c>
      <c r="AY79" s="112">
        <f t="shared" si="197"/>
        <v>1.1063153696083567</v>
      </c>
      <c r="AZ79" s="112">
        <f t="shared" si="198"/>
        <v>2.229416737814363</v>
      </c>
      <c r="BA79" s="112">
        <f t="shared" si="199"/>
        <v>1.1469614114499629</v>
      </c>
      <c r="BB79" s="112">
        <f t="shared" si="200"/>
        <v>0.51422232341975038</v>
      </c>
      <c r="BC79" s="112">
        <f t="shared" si="201"/>
        <v>0.99949625464878933</v>
      </c>
      <c r="BD79" s="112">
        <f t="shared" ca="1" si="202"/>
        <v>51.58</v>
      </c>
      <c r="BE79" s="112">
        <f t="shared" si="203"/>
        <v>37.050670709178803</v>
      </c>
      <c r="BF79" s="112">
        <f t="shared" ca="1" si="204"/>
        <v>37.050670709178803</v>
      </c>
      <c r="BG79" s="112">
        <f t="shared" ca="1" si="205"/>
        <v>37.050670709178803</v>
      </c>
      <c r="BH79" s="112">
        <f t="shared" ca="1" si="206"/>
        <v>1.5198032908796233E-2</v>
      </c>
      <c r="BI79" s="112">
        <f t="shared" ca="1" si="207"/>
        <v>31.785850410374408</v>
      </c>
      <c r="BJ79" s="112">
        <f t="shared" ca="1" si="208"/>
        <v>31.785850410374408</v>
      </c>
      <c r="BK79" s="112">
        <f t="shared" ca="1" si="209"/>
        <v>37.453656514560748</v>
      </c>
      <c r="BL79" s="112">
        <f t="shared" ca="1" si="210"/>
        <v>37.453656514560748</v>
      </c>
      <c r="BM79" s="112">
        <f t="shared" ca="1" si="211"/>
        <v>37.453656514560748</v>
      </c>
      <c r="BN79" s="112">
        <f t="shared" ca="1" si="251"/>
        <v>31.932534208488335</v>
      </c>
      <c r="BO79" s="112">
        <f t="shared" ca="1" si="212"/>
        <v>31.932534208488335</v>
      </c>
      <c r="BP79" s="112">
        <f t="shared" ca="1" si="213"/>
        <v>31.932534208488335</v>
      </c>
      <c r="BQ79" s="112">
        <f t="shared" ca="1" si="214"/>
        <v>0.78501138892444655</v>
      </c>
      <c r="BR79" s="112">
        <f t="shared" ca="1" si="215"/>
        <v>0</v>
      </c>
      <c r="BS79" s="112">
        <f t="shared" ca="1" si="216"/>
        <v>0</v>
      </c>
      <c r="BT79" s="112">
        <f t="shared" ca="1" si="217"/>
        <v>0</v>
      </c>
      <c r="BU79" s="112">
        <f t="shared" ca="1" si="218"/>
        <v>0</v>
      </c>
      <c r="BV79" s="112">
        <f t="shared" ca="1" si="219"/>
        <v>1.0078949415714358</v>
      </c>
      <c r="BW79" s="112">
        <f t="shared" ca="1" si="220"/>
        <v>2.6854145431552334</v>
      </c>
      <c r="BX79" s="112">
        <f t="shared" ca="1" si="221"/>
        <v>1.4410232038119171</v>
      </c>
      <c r="BY79" s="112">
        <f t="shared" ca="1" si="222"/>
        <v>2.6478087716734954E-40</v>
      </c>
      <c r="BZ79" s="112">
        <f t="shared" ca="1" si="223"/>
        <v>1.9434552022710394</v>
      </c>
      <c r="CA79" s="112">
        <f t="shared" ca="1" si="224"/>
        <v>-1.796257167860954E-41</v>
      </c>
      <c r="CB79" s="112">
        <v>1</v>
      </c>
      <c r="CC79" s="112">
        <v>1</v>
      </c>
      <c r="CD79" s="112">
        <v>1</v>
      </c>
      <c r="CE79" s="112">
        <v>1</v>
      </c>
      <c r="CF79" s="112">
        <f t="shared" ca="1" si="225"/>
        <v>2.6672801819130463</v>
      </c>
      <c r="CG79" s="112">
        <f t="shared" ca="1" si="226"/>
        <v>1.555760060637682</v>
      </c>
      <c r="CH79" s="255"/>
      <c r="CI79" s="150" t="str">
        <f t="shared" ca="1" si="178"/>
        <v>C20M70Y70K0</v>
      </c>
      <c r="CJ79" s="125">
        <f t="shared" ca="1" si="227"/>
        <v>0</v>
      </c>
      <c r="CK79" s="125">
        <f t="shared" ca="1" si="228"/>
        <v>0</v>
      </c>
      <c r="CL79" s="125">
        <f t="shared" ca="1" si="229"/>
        <v>0</v>
      </c>
      <c r="CM79" s="112">
        <f t="shared" ca="1" si="179"/>
        <v>0</v>
      </c>
      <c r="CN79" s="112">
        <f t="shared" ca="1" si="230"/>
        <v>0</v>
      </c>
      <c r="CO79" s="112">
        <f t="shared" ca="1" si="231"/>
        <v>0</v>
      </c>
      <c r="CP79" s="112">
        <f t="shared" ca="1" si="232"/>
        <v>0</v>
      </c>
      <c r="CQ79" s="112" t="str">
        <f t="shared" ca="1" si="233"/>
        <v/>
      </c>
      <c r="CR79" s="112" t="str">
        <f t="shared" ca="1" si="234"/>
        <v/>
      </c>
      <c r="CS79" s="112" t="str">
        <f t="shared" ca="1" si="235"/>
        <v/>
      </c>
      <c r="CT79" s="112" t="str">
        <f t="shared" ca="1" si="236"/>
        <v/>
      </c>
      <c r="CU79" s="112" t="str">
        <f t="shared" ca="1" si="237"/>
        <v/>
      </c>
      <c r="CV79" s="112" t="str">
        <f t="shared" ca="1" si="238"/>
        <v/>
      </c>
      <c r="CW79" s="112" t="str">
        <f t="shared" ca="1" si="162"/>
        <v/>
      </c>
      <c r="CX79" s="112" t="str">
        <f t="shared" ca="1" si="239"/>
        <v/>
      </c>
      <c r="CY79" s="112" t="str">
        <f t="shared" ca="1" si="165"/>
        <v/>
      </c>
      <c r="CZ79" s="112" t="str">
        <f t="shared" ca="1" si="240"/>
        <v/>
      </c>
      <c r="DA79" s="112" t="str">
        <f t="shared" ca="1" si="252"/>
        <v/>
      </c>
      <c r="DB79" s="112" t="str">
        <f t="shared" ca="1" si="253"/>
        <v/>
      </c>
      <c r="DC79" s="112" t="str">
        <f t="shared" ca="1" si="163"/>
        <v/>
      </c>
      <c r="DD79" s="112" t="str">
        <f t="shared" ca="1" si="254"/>
        <v/>
      </c>
      <c r="DE79" s="112" t="str">
        <f t="shared" ca="1" si="164"/>
        <v/>
      </c>
      <c r="DF79" s="112" t="str">
        <f t="shared" ca="1" si="244"/>
        <v/>
      </c>
      <c r="DG79" s="125">
        <f t="shared" ca="1" si="180"/>
        <v>20</v>
      </c>
      <c r="DH79" s="125">
        <f t="shared" ca="1" si="181"/>
        <v>70</v>
      </c>
      <c r="DI79" s="125">
        <f t="shared" ca="1" si="182"/>
        <v>70</v>
      </c>
      <c r="DJ79" s="125" t="str">
        <f t="shared" ca="1" si="183"/>
        <v>-</v>
      </c>
      <c r="DK79" s="112">
        <f t="shared" ca="1" si="184"/>
        <v>0.25897791919110363</v>
      </c>
      <c r="DL79" s="112">
        <f t="shared" ca="1" si="185"/>
        <v>0.19773365522879166</v>
      </c>
      <c r="DM79" s="112">
        <f t="shared" ca="1" si="186"/>
        <v>9.3258473327927416E-2</v>
      </c>
      <c r="DN79" s="112">
        <f t="shared" si="187"/>
        <v>0.25897791919110363</v>
      </c>
      <c r="DO79" s="112">
        <f t="shared" si="188"/>
        <v>0.19773365522879166</v>
      </c>
      <c r="DP79" s="112">
        <f t="shared" si="189"/>
        <v>9.3258473327927416E-2</v>
      </c>
      <c r="DQ79" s="112">
        <f t="shared" ref="DQ79:DQ97" ca="1" si="258">AG79</f>
        <v>51.58</v>
      </c>
      <c r="DR79" s="112">
        <f t="shared" ca="1" si="255"/>
        <v>31.31</v>
      </c>
      <c r="DS79" s="112">
        <f t="shared" ca="1" si="256"/>
        <v>19.809999999999999</v>
      </c>
      <c r="DT79" s="112">
        <f t="shared" si="241"/>
        <v>51.58</v>
      </c>
      <c r="DU79" s="112">
        <f t="shared" si="242"/>
        <v>31.31</v>
      </c>
      <c r="DV79" s="112">
        <f t="shared" si="243"/>
        <v>19.809999999999999</v>
      </c>
      <c r="DW79" s="260"/>
      <c r="DX79" s="168"/>
      <c r="DY79" s="168"/>
    </row>
    <row r="80" spans="1:260" s="151" customFormat="1" ht="14" customHeight="1">
      <c r="A80" s="158"/>
      <c r="B80" s="153">
        <f t="shared" ca="1" si="166"/>
        <v>70</v>
      </c>
      <c r="C80" s="154" t="str">
        <f t="shared" ca="1" si="167"/>
        <v>-</v>
      </c>
      <c r="D80" s="155">
        <f t="shared" ca="1" si="168"/>
        <v>40</v>
      </c>
      <c r="E80" s="156">
        <f t="shared" ca="1" si="169"/>
        <v>40</v>
      </c>
      <c r="F80" s="184"/>
      <c r="G80" s="195"/>
      <c r="H80" s="239">
        <v>46.36</v>
      </c>
      <c r="I80" s="240">
        <v>-18.03</v>
      </c>
      <c r="J80" s="241">
        <v>0.12</v>
      </c>
      <c r="K80" s="181"/>
      <c r="L80" s="204">
        <f t="shared" ca="1" si="170"/>
        <v>46.36</v>
      </c>
      <c r="M80" s="95">
        <f t="shared" ca="1" si="171"/>
        <v>-18.03</v>
      </c>
      <c r="N80" s="205">
        <f t="shared" ca="1" si="172"/>
        <v>0.12</v>
      </c>
      <c r="O80" s="21"/>
      <c r="P80" s="157">
        <f t="shared" ca="1" si="173"/>
        <v>0</v>
      </c>
      <c r="Q80" s="215"/>
      <c r="R80" s="289">
        <f t="shared" ca="1" si="174"/>
        <v>0</v>
      </c>
      <c r="S80" s="290"/>
      <c r="T80" s="148"/>
      <c r="U80" s="291">
        <f t="shared" ca="1" si="175"/>
        <v>0</v>
      </c>
      <c r="V80" s="292"/>
      <c r="W80" s="23"/>
      <c r="X80" s="291">
        <f t="shared" ca="1" si="176"/>
        <v>0</v>
      </c>
      <c r="Y80" s="292"/>
      <c r="Z80" s="215"/>
      <c r="AA80" s="215"/>
      <c r="AB80" s="215"/>
      <c r="AC80" s="94"/>
      <c r="AD80" s="94"/>
      <c r="AE80" s="149"/>
      <c r="AF80" s="149"/>
      <c r="AG80" s="109">
        <f t="shared" ca="1" si="245"/>
        <v>30</v>
      </c>
      <c r="AH80" s="109">
        <f t="shared" ca="1" si="246"/>
        <v>1</v>
      </c>
      <c r="AI80" s="109">
        <f t="shared" ca="1" si="247"/>
        <v>2</v>
      </c>
      <c r="AJ80" s="109">
        <f t="shared" ca="1" si="190"/>
        <v>2.2360679774997898</v>
      </c>
      <c r="AK80" s="113">
        <f t="shared" ca="1" si="191"/>
        <v>63.43494882292201</v>
      </c>
      <c r="AL80" s="159"/>
      <c r="AM80" s="112">
        <f t="shared" si="248"/>
        <v>30</v>
      </c>
      <c r="AN80" s="112">
        <f t="shared" si="249"/>
        <v>1</v>
      </c>
      <c r="AO80" s="112">
        <f t="shared" si="250"/>
        <v>2</v>
      </c>
      <c r="AP80" s="113">
        <f t="shared" si="192"/>
        <v>2.2360679774997898</v>
      </c>
      <c r="AQ80" s="112">
        <f t="shared" si="257"/>
        <v>63.43494882292201</v>
      </c>
      <c r="AR80" s="255"/>
      <c r="AS80" s="112">
        <f t="shared" ca="1" si="193"/>
        <v>0</v>
      </c>
      <c r="AT80" s="112">
        <f t="shared" ca="1" si="194"/>
        <v>0</v>
      </c>
      <c r="AU80" s="112">
        <f t="shared" ca="1" si="195"/>
        <v>0</v>
      </c>
      <c r="AV80" s="112">
        <f t="shared" ca="1" si="196"/>
        <v>0</v>
      </c>
      <c r="AW80" s="112">
        <f t="shared" ref="AW80:AW97" ca="1" si="259">SQRT(ROUND(AT80^2+AU80^2-AV80^2,10))</f>
        <v>0</v>
      </c>
      <c r="AX80" s="112">
        <f t="shared" ca="1" si="177"/>
        <v>0</v>
      </c>
      <c r="AY80" s="112">
        <f t="shared" si="197"/>
        <v>0.80369401765282766</v>
      </c>
      <c r="AZ80" s="112">
        <f t="shared" si="198"/>
        <v>0.77660116369299337</v>
      </c>
      <c r="BA80" s="112">
        <f t="shared" si="199"/>
        <v>0.72515274931772622</v>
      </c>
      <c r="BB80" s="112">
        <f t="shared" si="200"/>
        <v>0.4186745719206349</v>
      </c>
      <c r="BC80" s="112">
        <f t="shared" si="201"/>
        <v>0.11396057645963797</v>
      </c>
      <c r="BD80" s="112">
        <f t="shared" ca="1" si="202"/>
        <v>30</v>
      </c>
      <c r="BE80" s="112">
        <f t="shared" si="203"/>
        <v>2.2360679774997898</v>
      </c>
      <c r="BF80" s="112">
        <f t="shared" ca="1" si="204"/>
        <v>2.2360679774997898</v>
      </c>
      <c r="BG80" s="112">
        <f t="shared" ca="1" si="205"/>
        <v>2.2360679774997898</v>
      </c>
      <c r="BH80" s="112">
        <f t="shared" ca="1" si="206"/>
        <v>0.49989300155365374</v>
      </c>
      <c r="BI80" s="112">
        <f t="shared" ca="1" si="207"/>
        <v>1.4998930015536538</v>
      </c>
      <c r="BJ80" s="112">
        <f t="shared" ca="1" si="208"/>
        <v>1.4998930015536538</v>
      </c>
      <c r="BK80" s="112">
        <f t="shared" ca="1" si="209"/>
        <v>2.4999358023976592</v>
      </c>
      <c r="BL80" s="112">
        <f t="shared" ca="1" si="210"/>
        <v>2.4999358023976592</v>
      </c>
      <c r="BM80" s="112">
        <f t="shared" ca="1" si="211"/>
        <v>2.4999358023976592</v>
      </c>
      <c r="BN80" s="112">
        <f t="shared" ca="1" si="251"/>
        <v>53.132064183539093</v>
      </c>
      <c r="BO80" s="112">
        <f t="shared" ca="1" si="212"/>
        <v>53.132064183539093</v>
      </c>
      <c r="BP80" s="112">
        <f t="shared" ca="1" si="213"/>
        <v>53.132064183539093</v>
      </c>
      <c r="BQ80" s="112">
        <f t="shared" ca="1" si="214"/>
        <v>0.63916621596336676</v>
      </c>
      <c r="BR80" s="112">
        <f t="shared" ca="1" si="215"/>
        <v>0</v>
      </c>
      <c r="BS80" s="112">
        <f t="shared" ca="1" si="216"/>
        <v>0</v>
      </c>
      <c r="BT80" s="112">
        <f t="shared" ca="1" si="217"/>
        <v>0</v>
      </c>
      <c r="BU80" s="112">
        <f t="shared" ca="1" si="218"/>
        <v>0</v>
      </c>
      <c r="BV80" s="112">
        <f t="shared" ca="1" si="219"/>
        <v>1.2927700218845599</v>
      </c>
      <c r="BW80" s="112">
        <f t="shared" ca="1" si="220"/>
        <v>1.1124971111078947</v>
      </c>
      <c r="BX80" s="112">
        <f t="shared" ca="1" si="221"/>
        <v>1.0239681176045479</v>
      </c>
      <c r="BY80" s="112">
        <f t="shared" ca="1" si="222"/>
        <v>1.8699205455144949E-33</v>
      </c>
      <c r="BZ80" s="112">
        <f t="shared" ca="1" si="223"/>
        <v>6.3239865926375388E-4</v>
      </c>
      <c r="CA80" s="112">
        <f t="shared" ca="1" si="224"/>
        <v>-4.1278267124129314E-38</v>
      </c>
      <c r="CB80" s="112">
        <v>1</v>
      </c>
      <c r="CC80" s="112">
        <v>1</v>
      </c>
      <c r="CD80" s="112">
        <v>1</v>
      </c>
      <c r="CE80" s="112">
        <v>1</v>
      </c>
      <c r="CF80" s="112">
        <f t="shared" ca="1" si="225"/>
        <v>1.1006230589874906</v>
      </c>
      <c r="CG80" s="112">
        <f t="shared" ca="1" si="226"/>
        <v>1.0335410196624968</v>
      </c>
      <c r="CH80" s="255"/>
      <c r="CI80" s="150" t="str">
        <f t="shared" ca="1" si="178"/>
        <v>C0M0Y0K100</v>
      </c>
      <c r="CJ80" s="125">
        <f t="shared" ca="1" si="227"/>
        <v>0</v>
      </c>
      <c r="CK80" s="125">
        <f t="shared" ca="1" si="228"/>
        <v>0</v>
      </c>
      <c r="CL80" s="125">
        <f t="shared" ca="1" si="229"/>
        <v>0</v>
      </c>
      <c r="CM80" s="112">
        <f t="shared" ca="1" si="179"/>
        <v>0</v>
      </c>
      <c r="CN80" s="112">
        <f t="shared" ca="1" si="230"/>
        <v>0</v>
      </c>
      <c r="CO80" s="112">
        <f t="shared" ca="1" si="231"/>
        <v>0</v>
      </c>
      <c r="CP80" s="112">
        <f t="shared" ca="1" si="232"/>
        <v>0</v>
      </c>
      <c r="CQ80" s="112" t="str">
        <f t="shared" ca="1" si="233"/>
        <v/>
      </c>
      <c r="CR80" s="112" t="str">
        <f t="shared" ca="1" si="234"/>
        <v/>
      </c>
      <c r="CS80" s="112" t="str">
        <f t="shared" ca="1" si="235"/>
        <v/>
      </c>
      <c r="CT80" s="112" t="str">
        <f t="shared" ca="1" si="236"/>
        <v/>
      </c>
      <c r="CU80" s="112" t="str">
        <f t="shared" ca="1" si="237"/>
        <v/>
      </c>
      <c r="CV80" s="112" t="str">
        <f t="shared" ca="1" si="238"/>
        <v/>
      </c>
      <c r="CW80" s="112" t="str">
        <f t="shared" ca="1" si="162"/>
        <v/>
      </c>
      <c r="CX80" s="112" t="str">
        <f t="shared" ca="1" si="239"/>
        <v/>
      </c>
      <c r="CY80" s="112" t="str">
        <f t="shared" ca="1" si="165"/>
        <v/>
      </c>
      <c r="CZ80" s="112" t="str">
        <f t="shared" ca="1" si="240"/>
        <v/>
      </c>
      <c r="DA80" s="112" t="str">
        <f t="shared" ca="1" si="252"/>
        <v/>
      </c>
      <c r="DB80" s="112" t="str">
        <f ca="1">IF(OR(CI80="C90M85Y85K0",CI80="C75M66Y66K0",CI80="C50M40Y40K0",CI80="C25M19Y19K0",CI80="C10M7Y7K0",CI80="C3M2Y2K0",CI80="C0M0Y0K90",CI80="C0M0Y0K75",CI80="C0M0Y0K50",CI80="C0M0Y0K25",CI80="C0M0Y0K10",CI80="C0M0Y0K3"),CI80,"")</f>
        <v/>
      </c>
      <c r="DC80" s="112" t="str">
        <f t="shared" ca="1" si="163"/>
        <v/>
      </c>
      <c r="DD80" s="112" t="str">
        <f t="shared" ca="1" si="254"/>
        <v/>
      </c>
      <c r="DE80" s="112" t="str">
        <f t="shared" ca="1" si="164"/>
        <v/>
      </c>
      <c r="DF80" s="112" t="str">
        <f t="shared" ca="1" si="244"/>
        <v/>
      </c>
      <c r="DG80" s="125" t="str">
        <f t="shared" ca="1" si="180"/>
        <v>-</v>
      </c>
      <c r="DH80" s="125" t="str">
        <f t="shared" ca="1" si="181"/>
        <v>-</v>
      </c>
      <c r="DI80" s="125" t="str">
        <f t="shared" ca="1" si="182"/>
        <v>-</v>
      </c>
      <c r="DJ80" s="125">
        <f t="shared" ca="1" si="183"/>
        <v>100</v>
      </c>
      <c r="DK80" s="112">
        <f t="shared" ca="1" si="184"/>
        <v>6.1040938724449156E-2</v>
      </c>
      <c r="DL80" s="112">
        <f t="shared" ca="1" si="185"/>
        <v>6.2359055311820913E-2</v>
      </c>
      <c r="DM80" s="112">
        <f t="shared" ca="1" si="186"/>
        <v>4.7645747811263281E-2</v>
      </c>
      <c r="DN80" s="112">
        <f t="shared" si="187"/>
        <v>6.1040938724449156E-2</v>
      </c>
      <c r="DO80" s="112">
        <f t="shared" si="188"/>
        <v>6.2359055311820913E-2</v>
      </c>
      <c r="DP80" s="112">
        <f t="shared" si="189"/>
        <v>4.7645747811263281E-2</v>
      </c>
      <c r="DQ80" s="112">
        <f t="shared" ca="1" si="258"/>
        <v>30</v>
      </c>
      <c r="DR80" s="112">
        <f t="shared" ca="1" si="255"/>
        <v>1</v>
      </c>
      <c r="DS80" s="112">
        <f t="shared" ca="1" si="256"/>
        <v>2</v>
      </c>
      <c r="DT80" s="112">
        <f t="shared" si="241"/>
        <v>30</v>
      </c>
      <c r="DU80" s="112">
        <f t="shared" si="242"/>
        <v>1</v>
      </c>
      <c r="DV80" s="112">
        <f t="shared" si="243"/>
        <v>2</v>
      </c>
      <c r="DW80" s="260"/>
      <c r="DX80" s="168"/>
      <c r="DY80" s="168"/>
    </row>
    <row r="81" spans="1:135" s="151" customFormat="1" ht="14" customHeight="1">
      <c r="A81" s="158"/>
      <c r="B81" s="153">
        <f t="shared" ca="1" si="166"/>
        <v>100</v>
      </c>
      <c r="C81" s="154">
        <f t="shared" ca="1" si="167"/>
        <v>100</v>
      </c>
      <c r="D81" s="155">
        <f t="shared" ca="1" si="168"/>
        <v>100</v>
      </c>
      <c r="E81" s="156">
        <f t="shared" ca="1" si="169"/>
        <v>100</v>
      </c>
      <c r="F81" s="206"/>
      <c r="G81" s="185"/>
      <c r="H81" s="239">
        <v>22.03</v>
      </c>
      <c r="I81" s="240">
        <v>0.8</v>
      </c>
      <c r="J81" s="241">
        <v>1.26</v>
      </c>
      <c r="K81" s="181"/>
      <c r="L81" s="204">
        <f t="shared" ca="1" si="170"/>
        <v>22.03</v>
      </c>
      <c r="M81" s="95">
        <f t="shared" ca="1" si="171"/>
        <v>0.8</v>
      </c>
      <c r="N81" s="205">
        <f t="shared" ca="1" si="172"/>
        <v>1.26</v>
      </c>
      <c r="O81" s="21"/>
      <c r="P81" s="157">
        <f t="shared" ca="1" si="173"/>
        <v>0</v>
      </c>
      <c r="Q81" s="93"/>
      <c r="R81" s="289">
        <f t="shared" ca="1" si="174"/>
        <v>0</v>
      </c>
      <c r="S81" s="290"/>
      <c r="T81" s="148"/>
      <c r="U81" s="291">
        <f t="shared" ca="1" si="175"/>
        <v>0</v>
      </c>
      <c r="V81" s="292"/>
      <c r="W81" s="23"/>
      <c r="X81" s="291">
        <f t="shared" ca="1" si="176"/>
        <v>0</v>
      </c>
      <c r="Y81" s="292"/>
      <c r="Z81" s="215"/>
      <c r="AA81" s="215"/>
      <c r="AB81" s="215"/>
      <c r="AC81" s="94"/>
      <c r="AD81" s="94"/>
      <c r="AE81" s="149"/>
      <c r="AF81" s="149"/>
      <c r="AG81" s="109">
        <f t="shared" ca="1" si="245"/>
        <v>32</v>
      </c>
      <c r="AH81" s="109">
        <f t="shared" ca="1" si="246"/>
        <v>1.0000000000000001E-5</v>
      </c>
      <c r="AI81" s="109">
        <f t="shared" ca="1" si="247"/>
        <v>1.0000000000000001E-5</v>
      </c>
      <c r="AJ81" s="109">
        <f t="shared" ca="1" si="190"/>
        <v>1.4142135623730951E-5</v>
      </c>
      <c r="AK81" s="113">
        <f ca="1">IFERROR(IF(DEGREES(ATAN2(AH81,AI81))&lt;0,DEGREES(ATAN2(AH81,AI81))+360,IF(DEGREES(ATAN2(AH81,AI81))&gt;360,DEGREES(ATAN2(AH81,AI81))-360,DEGREES(ATAN2(AH81,AI81)))),"")</f>
        <v>45</v>
      </c>
      <c r="AL81" s="159"/>
      <c r="AM81" s="112">
        <f t="shared" si="248"/>
        <v>32</v>
      </c>
      <c r="AN81" s="112">
        <f t="shared" si="249"/>
        <v>1.0000000000000001E-5</v>
      </c>
      <c r="AO81" s="112">
        <f t="shared" si="250"/>
        <v>1.0000000000000001E-5</v>
      </c>
      <c r="AP81" s="113">
        <f t="shared" si="192"/>
        <v>1.4142135623730951E-5</v>
      </c>
      <c r="AQ81" s="112">
        <f t="shared" si="257"/>
        <v>45</v>
      </c>
      <c r="AR81" s="255"/>
      <c r="AS81" s="112">
        <f t="shared" ca="1" si="193"/>
        <v>0</v>
      </c>
      <c r="AT81" s="112">
        <f ca="1">IFERROR(AN81-AH81,"")</f>
        <v>0</v>
      </c>
      <c r="AU81" s="112">
        <f ca="1">IFERROR(AO81-AI81,"")</f>
        <v>0</v>
      </c>
      <c r="AV81" s="112">
        <f ca="1">IFERROR(AP81-AJ81,"")</f>
        <v>0</v>
      </c>
      <c r="AW81" s="112">
        <f t="shared" ca="1" si="259"/>
        <v>0</v>
      </c>
      <c r="AX81" s="112">
        <f t="shared" ca="1" si="177"/>
        <v>0</v>
      </c>
      <c r="AY81" s="112">
        <f t="shared" si="197"/>
        <v>0.83793456032719837</v>
      </c>
      <c r="AZ81" s="112">
        <f t="shared" si="198"/>
        <v>0.6380009022680857</v>
      </c>
      <c r="BA81" s="112">
        <f>IFERROR(AZ81*(BC81*BB81+1-BC81),"")</f>
        <v>0.63800090226641548</v>
      </c>
      <c r="BB81" s="112">
        <f>IFERROR(IF(AND(AQ81&gt;=164,AQ81&lt;=345),0.56+ABS(0.2*(COS(RADIANS(AQ81+168)))),0.36+ABS(0.4*(COS(RADIANS(AQ81+35))))),"")</f>
        <v>0.42945927106677217</v>
      </c>
      <c r="BC81" s="112">
        <f t="shared" si="201"/>
        <v>4.5883146774112357E-12</v>
      </c>
      <c r="BD81" s="112">
        <f t="shared" ca="1" si="202"/>
        <v>32</v>
      </c>
      <c r="BE81" s="112">
        <f t="shared" si="203"/>
        <v>1.4142135623730951E-5</v>
      </c>
      <c r="BF81" s="112">
        <f t="shared" ca="1" si="204"/>
        <v>1.4142135623730951E-5</v>
      </c>
      <c r="BG81" s="112">
        <f t="shared" ca="1" si="205"/>
        <v>1.4142135623730951E-5</v>
      </c>
      <c r="BH81" s="112">
        <f t="shared" ca="1" si="206"/>
        <v>0.5</v>
      </c>
      <c r="BI81" s="112">
        <f t="shared" ca="1" si="207"/>
        <v>1.5000000000000002E-5</v>
      </c>
      <c r="BJ81" s="112">
        <f t="shared" ca="1" si="208"/>
        <v>1.5000000000000002E-5</v>
      </c>
      <c r="BK81" s="112">
        <f t="shared" ca="1" si="209"/>
        <v>1.8027756377319947E-5</v>
      </c>
      <c r="BL81" s="112">
        <f t="shared" ca="1" si="210"/>
        <v>1.8027756377319947E-5</v>
      </c>
      <c r="BM81" s="112">
        <f t="shared" ca="1" si="211"/>
        <v>1.8027756377319947E-5</v>
      </c>
      <c r="BN81" s="112">
        <f ca="1">IFERROR(IF(DEGREES(ATAN2(BI81,AO81))&gt;=0,DEGREES(ATAN2(BI81,AO81)),DEGREES(ATAN2(BI81,AO81))+360),0)</f>
        <v>33.690067525979785</v>
      </c>
      <c r="BO81" s="112">
        <f t="shared" ca="1" si="212"/>
        <v>33.690067525979785</v>
      </c>
      <c r="BP81" s="112">
        <f t="shared" ca="1" si="213"/>
        <v>33.690067525979785</v>
      </c>
      <c r="BQ81" s="112">
        <f t="shared" ca="1" si="214"/>
        <v>0.76612759575223877</v>
      </c>
      <c r="BR81" s="112">
        <f t="shared" ca="1" si="215"/>
        <v>0</v>
      </c>
      <c r="BS81" s="112">
        <f t="shared" ca="1" si="216"/>
        <v>0</v>
      </c>
      <c r="BT81" s="112">
        <f t="shared" ca="1" si="217"/>
        <v>0</v>
      </c>
      <c r="BU81" s="112">
        <f t="shared" ca="1" si="218"/>
        <v>0</v>
      </c>
      <c r="BV81" s="112">
        <f t="shared" ca="1" si="219"/>
        <v>1.2620336388843554</v>
      </c>
      <c r="BW81" s="112">
        <f t="shared" ca="1" si="220"/>
        <v>1.0000008112490371</v>
      </c>
      <c r="BX81" s="112">
        <f t="shared" ca="1" si="221"/>
        <v>1.0000002071734249</v>
      </c>
      <c r="BY81" s="112">
        <f t="shared" ca="1" si="222"/>
        <v>1.0338010934138477E-39</v>
      </c>
      <c r="BZ81" s="112">
        <f t="shared" ca="1" si="223"/>
        <v>6.3684808470494171E-22</v>
      </c>
      <c r="CA81" s="112">
        <f t="shared" ca="1" si="224"/>
        <v>-2.2981596616768503E-62</v>
      </c>
      <c r="CB81" s="112">
        <v>1</v>
      </c>
      <c r="CC81" s="112">
        <v>1</v>
      </c>
      <c r="CD81" s="112">
        <v>1</v>
      </c>
      <c r="CE81" s="112">
        <v>1</v>
      </c>
      <c r="CF81" s="112">
        <f t="shared" ca="1" si="225"/>
        <v>1.0000006363961031</v>
      </c>
      <c r="CG81" s="112">
        <f t="shared" ca="1" si="226"/>
        <v>1.0000002121320344</v>
      </c>
      <c r="CH81" s="255"/>
      <c r="CI81" s="150" t="str">
        <f t="shared" ca="1" si="178"/>
        <v>C100M100Y100K0</v>
      </c>
      <c r="CJ81" s="125">
        <f t="shared" ca="1" si="227"/>
        <v>0</v>
      </c>
      <c r="CK81" s="125">
        <f t="shared" ca="1" si="228"/>
        <v>0</v>
      </c>
      <c r="CL81" s="125">
        <f t="shared" ca="1" si="229"/>
        <v>0</v>
      </c>
      <c r="CM81" s="112">
        <f t="shared" ca="1" si="179"/>
        <v>0</v>
      </c>
      <c r="CN81" s="112">
        <f t="shared" ca="1" si="230"/>
        <v>0</v>
      </c>
      <c r="CO81" s="112">
        <f t="shared" ca="1" si="231"/>
        <v>0</v>
      </c>
      <c r="CP81" s="112">
        <f t="shared" ca="1" si="232"/>
        <v>0</v>
      </c>
      <c r="CQ81" s="112" t="str">
        <f t="shared" ca="1" si="233"/>
        <v/>
      </c>
      <c r="CR81" s="112" t="str">
        <f t="shared" ca="1" si="234"/>
        <v/>
      </c>
      <c r="CS81" s="112" t="str">
        <f t="shared" ca="1" si="235"/>
        <v/>
      </c>
      <c r="CT81" s="112" t="str">
        <f t="shared" ca="1" si="236"/>
        <v/>
      </c>
      <c r="CU81" s="112" t="str">
        <f t="shared" ca="1" si="237"/>
        <v/>
      </c>
      <c r="CV81" s="112" t="str">
        <f t="shared" ca="1" si="238"/>
        <v/>
      </c>
      <c r="CW81" s="112" t="str">
        <f t="shared" ca="1" si="162"/>
        <v/>
      </c>
      <c r="CX81" s="112" t="str">
        <f t="shared" ca="1" si="239"/>
        <v/>
      </c>
      <c r="CY81" s="112" t="str">
        <f t="shared" ca="1" si="165"/>
        <v/>
      </c>
      <c r="CZ81" s="112" t="str">
        <f t="shared" ca="1" si="240"/>
        <v/>
      </c>
      <c r="DA81" s="112" t="str">
        <f t="shared" ca="1" si="252"/>
        <v/>
      </c>
      <c r="DB81" s="112" t="str">
        <f t="shared" ref="DB81:DB97" ca="1" si="260">IF(OR(CI81="C90M85Y85K0",CI81="C75M66Y66K0",CI81="C50M40Y40K0",CI81="C25M19Y19K0",CI81="C10M7Y7K0",CI81="C3M2Y2K0",CI81="C0M0Y0K90",CI81="C0M0Y0K75",CI81="C0M0Y0K50",CI81="C0M0Y0K25",CI81="C0M0Y0K10",CI81="C0M0Y0K3"),CI81,"")</f>
        <v/>
      </c>
      <c r="DC81" s="112" t="str">
        <f t="shared" ca="1" si="163"/>
        <v/>
      </c>
      <c r="DD81" s="112" t="str">
        <f t="shared" ca="1" si="254"/>
        <v/>
      </c>
      <c r="DE81" s="112" t="str">
        <f t="shared" ca="1" si="164"/>
        <v/>
      </c>
      <c r="DF81" s="112" t="str">
        <f t="shared" ca="1" si="244"/>
        <v/>
      </c>
      <c r="DG81" s="125">
        <f t="shared" ca="1" si="180"/>
        <v>100</v>
      </c>
      <c r="DH81" s="125">
        <f t="shared" ca="1" si="181"/>
        <v>100</v>
      </c>
      <c r="DI81" s="125">
        <f t="shared" ca="1" si="182"/>
        <v>100</v>
      </c>
      <c r="DJ81" s="125" t="str">
        <f t="shared" ca="1" si="183"/>
        <v>-</v>
      </c>
      <c r="DK81" s="112">
        <f t="shared" ca="1" si="184"/>
        <v>6.831513557710292E-2</v>
      </c>
      <c r="DL81" s="112">
        <f t="shared" ca="1" si="185"/>
        <v>7.0851613432285049E-2</v>
      </c>
      <c r="DM81" s="112">
        <f t="shared" ca="1" si="186"/>
        <v>5.8445474733802232E-2</v>
      </c>
      <c r="DN81" s="112">
        <f t="shared" si="187"/>
        <v>6.831513557710292E-2</v>
      </c>
      <c r="DO81" s="112">
        <f t="shared" si="188"/>
        <v>7.0851613432285049E-2</v>
      </c>
      <c r="DP81" s="112">
        <f t="shared" si="189"/>
        <v>5.8445474733802232E-2</v>
      </c>
      <c r="DQ81" s="112">
        <f t="shared" ca="1" si="258"/>
        <v>32</v>
      </c>
      <c r="DR81" s="112">
        <f t="shared" ca="1" si="255"/>
        <v>1.0000000000000001E-5</v>
      </c>
      <c r="DS81" s="112">
        <f t="shared" ca="1" si="256"/>
        <v>1.0000000000000001E-5</v>
      </c>
      <c r="DT81" s="112">
        <f t="shared" si="241"/>
        <v>32</v>
      </c>
      <c r="DU81" s="112">
        <f t="shared" si="242"/>
        <v>1.0000000000000001E-5</v>
      </c>
      <c r="DV81" s="112">
        <f t="shared" si="243"/>
        <v>1.0000000000000001E-5</v>
      </c>
      <c r="DW81" s="260"/>
      <c r="DX81" s="168"/>
      <c r="DY81" s="168"/>
    </row>
    <row r="82" spans="1:135" s="151" customFormat="1" ht="14" customHeight="1">
      <c r="A82" s="158"/>
      <c r="B82" s="153" t="str">
        <f t="shared" ca="1" si="166"/>
        <v>-</v>
      </c>
      <c r="C82" s="154" t="str">
        <f t="shared" ca="1" si="167"/>
        <v>-</v>
      </c>
      <c r="D82" s="155" t="str">
        <f t="shared" ca="1" si="168"/>
        <v>-</v>
      </c>
      <c r="E82" s="156" t="str">
        <f t="shared" ca="1" si="169"/>
        <v>-</v>
      </c>
      <c r="F82" s="184"/>
      <c r="G82" s="195"/>
      <c r="H82" s="239">
        <v>87</v>
      </c>
      <c r="I82" s="240">
        <v>0</v>
      </c>
      <c r="J82" s="241">
        <v>3</v>
      </c>
      <c r="K82" s="181"/>
      <c r="L82" s="204">
        <f t="shared" ca="1" si="170"/>
        <v>87</v>
      </c>
      <c r="M82" s="95">
        <f t="shared" ca="1" si="171"/>
        <v>0</v>
      </c>
      <c r="N82" s="205">
        <f t="shared" ca="1" si="172"/>
        <v>3</v>
      </c>
      <c r="O82" s="21"/>
      <c r="P82" s="157">
        <f t="shared" ca="1" si="173"/>
        <v>0</v>
      </c>
      <c r="Q82" s="215"/>
      <c r="R82" s="289">
        <f t="shared" ca="1" si="174"/>
        <v>0</v>
      </c>
      <c r="S82" s="290"/>
      <c r="T82" s="148"/>
      <c r="U82" s="291">
        <f t="shared" ca="1" si="175"/>
        <v>0</v>
      </c>
      <c r="V82" s="292"/>
      <c r="W82" s="23"/>
      <c r="X82" s="291">
        <f t="shared" ca="1" si="176"/>
        <v>0</v>
      </c>
      <c r="Y82" s="292"/>
      <c r="Z82" s="215"/>
      <c r="AA82" s="215"/>
      <c r="AB82" s="215"/>
      <c r="AC82" s="94"/>
      <c r="AD82" s="94"/>
      <c r="AE82" s="149"/>
      <c r="AF82" s="149"/>
      <c r="AG82" s="109">
        <f t="shared" ca="1" si="245"/>
        <v>48.2</v>
      </c>
      <c r="AH82" s="109">
        <f t="shared" ca="1" si="246"/>
        <v>-11.37</v>
      </c>
      <c r="AI82" s="109">
        <f t="shared" ca="1" si="247"/>
        <v>8.8800000000000008</v>
      </c>
      <c r="AJ82" s="109">
        <f t="shared" ca="1" si="190"/>
        <v>14.426756392204036</v>
      </c>
      <c r="AK82" s="113">
        <f t="shared" ca="1" si="191"/>
        <v>142.01006965382814</v>
      </c>
      <c r="AL82" s="159"/>
      <c r="AM82" s="112">
        <f t="shared" si="248"/>
        <v>48.2</v>
      </c>
      <c r="AN82" s="112">
        <f t="shared" si="249"/>
        <v>-11.37</v>
      </c>
      <c r="AO82" s="112">
        <f t="shared" si="250"/>
        <v>8.8800000000000008</v>
      </c>
      <c r="AP82" s="113">
        <f t="shared" si="192"/>
        <v>14.426756392204036</v>
      </c>
      <c r="AQ82" s="112">
        <f t="shared" si="257"/>
        <v>142.01006965382814</v>
      </c>
      <c r="AR82" s="255"/>
      <c r="AS82" s="112">
        <f t="shared" ca="1" si="193"/>
        <v>0</v>
      </c>
      <c r="AT82" s="112">
        <f t="shared" ca="1" si="194"/>
        <v>0</v>
      </c>
      <c r="AU82" s="112">
        <f t="shared" ca="1" si="195"/>
        <v>0</v>
      </c>
      <c r="AV82" s="112">
        <f t="shared" ca="1" si="196"/>
        <v>0</v>
      </c>
      <c r="AW82" s="112">
        <f t="shared" ca="1" si="259"/>
        <v>0</v>
      </c>
      <c r="AX82" s="112">
        <f t="shared" ca="1" si="177"/>
        <v>0</v>
      </c>
      <c r="AY82" s="112">
        <f t="shared" si="197"/>
        <v>1.0671437756993187</v>
      </c>
      <c r="AZ82" s="112">
        <f t="shared" si="198"/>
        <v>1.4121248151759103</v>
      </c>
      <c r="BA82" s="112">
        <f t="shared" si="199"/>
        <v>1.0796588460736203</v>
      </c>
      <c r="BB82" s="112">
        <f t="shared" si="200"/>
        <v>0.75945548692146703</v>
      </c>
      <c r="BC82" s="112">
        <f t="shared" si="201"/>
        <v>0.97876551213985119</v>
      </c>
      <c r="BD82" s="112">
        <f t="shared" ca="1" si="202"/>
        <v>48.2</v>
      </c>
      <c r="BE82" s="112">
        <f t="shared" si="203"/>
        <v>14.426756392204036</v>
      </c>
      <c r="BF82" s="112">
        <f t="shared" ca="1" si="204"/>
        <v>14.426756392204036</v>
      </c>
      <c r="BG82" s="112">
        <f t="shared" ca="1" si="205"/>
        <v>14.426756392204036</v>
      </c>
      <c r="BH82" s="112">
        <f t="shared" ca="1" si="206"/>
        <v>0.42777435231862876</v>
      </c>
      <c r="BI82" s="112">
        <f t="shared" ca="1" si="207"/>
        <v>-16.233794385862808</v>
      </c>
      <c r="BJ82" s="112">
        <f t="shared" ca="1" si="208"/>
        <v>-16.233794385862808</v>
      </c>
      <c r="BK82" s="112">
        <f t="shared" ca="1" si="209"/>
        <v>18.503796371622521</v>
      </c>
      <c r="BL82" s="112">
        <f t="shared" ca="1" si="210"/>
        <v>18.503796371622521</v>
      </c>
      <c r="BM82" s="112">
        <f t="shared" ca="1" si="211"/>
        <v>18.503796371622521</v>
      </c>
      <c r="BN82" s="112">
        <f t="shared" ref="BN82:BN97" ca="1" si="261">IFERROR(IF(DEGREES(ATAN2(BI82,AO82))&gt;=0,DEGREES(ATAN2(BI82,AO82)),DEGREES(ATAN2(BI82,AO82))+360),0)</f>
        <v>151.3210296874073</v>
      </c>
      <c r="BO82" s="112">
        <f t="shared" ca="1" si="212"/>
        <v>151.3210296874073</v>
      </c>
      <c r="BP82" s="112">
        <f t="shared" ca="1" si="213"/>
        <v>151.3210296874073</v>
      </c>
      <c r="BQ82" s="112">
        <f t="shared" ca="1" si="214"/>
        <v>1.3623016416603471</v>
      </c>
      <c r="BR82" s="112">
        <f t="shared" ca="1" si="215"/>
        <v>0</v>
      </c>
      <c r="BS82" s="112">
        <f t="shared" ca="1" si="216"/>
        <v>0</v>
      </c>
      <c r="BT82" s="112">
        <f t="shared" ca="1" si="217"/>
        <v>0</v>
      </c>
      <c r="BU82" s="112">
        <f t="shared" ca="1" si="218"/>
        <v>0</v>
      </c>
      <c r="BV82" s="112">
        <f t="shared" ca="1" si="219"/>
        <v>1.010081338735787</v>
      </c>
      <c r="BW82" s="112">
        <f t="shared" ca="1" si="220"/>
        <v>1.8326708367230133</v>
      </c>
      <c r="BX82" s="112">
        <f t="shared" ca="1" si="221"/>
        <v>1.3781162826101521</v>
      </c>
      <c r="BY82" s="112">
        <f t="shared" ca="1" si="222"/>
        <v>7.0474651252744957E-10</v>
      </c>
      <c r="BZ82" s="112">
        <f t="shared" ca="1" si="223"/>
        <v>0.65874445865364217</v>
      </c>
      <c r="CA82" s="112">
        <f t="shared" ca="1" si="224"/>
        <v>-1.6205307400589095E-11</v>
      </c>
      <c r="CB82" s="112">
        <v>1</v>
      </c>
      <c r="CC82" s="112">
        <v>1</v>
      </c>
      <c r="CD82" s="112">
        <v>1</v>
      </c>
      <c r="CE82" s="112">
        <v>1</v>
      </c>
      <c r="CF82" s="112">
        <f t="shared" ca="1" si="225"/>
        <v>1.6492040376491817</v>
      </c>
      <c r="CG82" s="112">
        <f t="shared" ca="1" si="226"/>
        <v>1.2164013458830605</v>
      </c>
      <c r="CH82" s="255"/>
      <c r="CI82" s="150" t="str">
        <f t="shared" ca="1" si="178"/>
        <v>C70M40Y70K0</v>
      </c>
      <c r="CJ82" s="125">
        <f t="shared" ca="1" si="227"/>
        <v>0</v>
      </c>
      <c r="CK82" s="125">
        <f t="shared" ca="1" si="228"/>
        <v>0</v>
      </c>
      <c r="CL82" s="125">
        <f t="shared" ca="1" si="229"/>
        <v>0</v>
      </c>
      <c r="CM82" s="112">
        <f t="shared" ca="1" si="179"/>
        <v>0</v>
      </c>
      <c r="CN82" s="112">
        <f t="shared" ca="1" si="230"/>
        <v>0</v>
      </c>
      <c r="CO82" s="112">
        <f t="shared" ca="1" si="231"/>
        <v>0</v>
      </c>
      <c r="CP82" s="112">
        <f t="shared" ca="1" si="232"/>
        <v>0</v>
      </c>
      <c r="CQ82" s="112" t="str">
        <f t="shared" ca="1" si="233"/>
        <v/>
      </c>
      <c r="CR82" s="112" t="str">
        <f t="shared" ca="1" si="234"/>
        <v/>
      </c>
      <c r="CS82" s="112" t="str">
        <f t="shared" ca="1" si="235"/>
        <v/>
      </c>
      <c r="CT82" s="112" t="str">
        <f t="shared" ca="1" si="236"/>
        <v/>
      </c>
      <c r="CU82" s="112" t="str">
        <f t="shared" ca="1" si="237"/>
        <v/>
      </c>
      <c r="CV82" s="112" t="str">
        <f t="shared" ca="1" si="238"/>
        <v/>
      </c>
      <c r="CW82" s="112" t="str">
        <f t="shared" ca="1" si="162"/>
        <v/>
      </c>
      <c r="CX82" s="112" t="str">
        <f t="shared" ca="1" si="239"/>
        <v/>
      </c>
      <c r="CY82" s="112" t="str">
        <f t="shared" ca="1" si="165"/>
        <v/>
      </c>
      <c r="CZ82" s="112" t="str">
        <f t="shared" ca="1" si="240"/>
        <v/>
      </c>
      <c r="DA82" s="112" t="str">
        <f t="shared" ca="1" si="252"/>
        <v/>
      </c>
      <c r="DB82" s="112" t="str">
        <f t="shared" ca="1" si="260"/>
        <v/>
      </c>
      <c r="DC82" s="112" t="str">
        <f t="shared" ca="1" si="163"/>
        <v/>
      </c>
      <c r="DD82" s="112" t="str">
        <f t="shared" ca="1" si="254"/>
        <v/>
      </c>
      <c r="DE82" s="112" t="str">
        <f t="shared" ca="1" si="164"/>
        <v/>
      </c>
      <c r="DF82" s="112" t="str">
        <f t="shared" ca="1" si="244"/>
        <v/>
      </c>
      <c r="DG82" s="125">
        <f t="shared" ca="1" si="180"/>
        <v>70</v>
      </c>
      <c r="DH82" s="125">
        <f t="shared" ca="1" si="181"/>
        <v>40</v>
      </c>
      <c r="DI82" s="125">
        <f t="shared" ca="1" si="182"/>
        <v>70</v>
      </c>
      <c r="DJ82" s="125" t="str">
        <f t="shared" ca="1" si="183"/>
        <v>-</v>
      </c>
      <c r="DK82" s="112">
        <f t="shared" ca="1" si="184"/>
        <v>0.14412346915366564</v>
      </c>
      <c r="DL82" s="112">
        <f t="shared" ca="1" si="185"/>
        <v>0.16952397084751328</v>
      </c>
      <c r="DM82" s="112">
        <f t="shared" ca="1" si="186"/>
        <v>0.10881235659819537</v>
      </c>
      <c r="DN82" s="112">
        <f t="shared" si="187"/>
        <v>0.14412346915366564</v>
      </c>
      <c r="DO82" s="112">
        <f t="shared" si="188"/>
        <v>0.16952397084751328</v>
      </c>
      <c r="DP82" s="112">
        <f t="shared" si="189"/>
        <v>0.10881235659819537</v>
      </c>
      <c r="DQ82" s="112">
        <f t="shared" ca="1" si="258"/>
        <v>48.2</v>
      </c>
      <c r="DR82" s="112">
        <f t="shared" ca="1" si="255"/>
        <v>-11.37</v>
      </c>
      <c r="DS82" s="112">
        <f t="shared" ca="1" si="256"/>
        <v>8.8800000000000008</v>
      </c>
      <c r="DT82" s="112">
        <f t="shared" si="241"/>
        <v>48.2</v>
      </c>
      <c r="DU82" s="112">
        <f t="shared" si="242"/>
        <v>-11.37</v>
      </c>
      <c r="DV82" s="112">
        <f t="shared" si="243"/>
        <v>8.8800000000000008</v>
      </c>
      <c r="DW82" s="260"/>
      <c r="DX82" s="168"/>
      <c r="DY82" s="168"/>
    </row>
    <row r="83" spans="1:135" s="151" customFormat="1" ht="14" customHeight="1">
      <c r="A83" s="158"/>
      <c r="B83" s="153">
        <f t="shared" ca="1" si="166"/>
        <v>70</v>
      </c>
      <c r="C83" s="154">
        <f t="shared" ca="1" si="167"/>
        <v>40</v>
      </c>
      <c r="D83" s="155">
        <f t="shared" ca="1" si="168"/>
        <v>40</v>
      </c>
      <c r="E83" s="156" t="str">
        <f t="shared" ca="1" si="169"/>
        <v>-</v>
      </c>
      <c r="F83" s="184"/>
      <c r="G83" s="195"/>
      <c r="H83" s="239">
        <v>49.68</v>
      </c>
      <c r="I83" s="240">
        <v>-8.26</v>
      </c>
      <c r="J83" s="241">
        <v>-5.3</v>
      </c>
      <c r="K83" s="181"/>
      <c r="L83" s="204">
        <f t="shared" ca="1" si="170"/>
        <v>49.68</v>
      </c>
      <c r="M83" s="95">
        <f t="shared" ca="1" si="171"/>
        <v>-8.26</v>
      </c>
      <c r="N83" s="205">
        <f t="shared" ca="1" si="172"/>
        <v>-5.3</v>
      </c>
      <c r="O83" s="21"/>
      <c r="P83" s="157">
        <f t="shared" ca="1" si="173"/>
        <v>0</v>
      </c>
      <c r="Q83" s="215"/>
      <c r="R83" s="289">
        <f t="shared" ca="1" si="174"/>
        <v>0</v>
      </c>
      <c r="S83" s="290"/>
      <c r="T83" s="148"/>
      <c r="U83" s="291">
        <f t="shared" ca="1" si="175"/>
        <v>0</v>
      </c>
      <c r="V83" s="292"/>
      <c r="W83" s="23"/>
      <c r="X83" s="291">
        <f t="shared" ca="1" si="176"/>
        <v>0</v>
      </c>
      <c r="Y83" s="292"/>
      <c r="Z83" s="215"/>
      <c r="AA83" s="215"/>
      <c r="AB83" s="215"/>
      <c r="AC83" s="94"/>
      <c r="AD83" s="94"/>
      <c r="AE83" s="149"/>
      <c r="AF83" s="149"/>
      <c r="AG83" s="109">
        <f t="shared" ca="1" si="245"/>
        <v>68.37</v>
      </c>
      <c r="AH83" s="109">
        <f t="shared" ca="1" si="246"/>
        <v>-9.6</v>
      </c>
      <c r="AI83" s="109">
        <f t="shared" ca="1" si="247"/>
        <v>-8.85</v>
      </c>
      <c r="AJ83" s="109">
        <f t="shared" ca="1" si="190"/>
        <v>13.056894730371383</v>
      </c>
      <c r="AK83" s="113">
        <f t="shared" ca="1" si="191"/>
        <v>222.67218491095886</v>
      </c>
      <c r="AL83" s="159"/>
      <c r="AM83" s="112">
        <f t="shared" si="248"/>
        <v>68.37</v>
      </c>
      <c r="AN83" s="112">
        <f t="shared" si="249"/>
        <v>-9.6</v>
      </c>
      <c r="AO83" s="112">
        <f t="shared" si="250"/>
        <v>-8.85</v>
      </c>
      <c r="AP83" s="113">
        <f t="shared" si="192"/>
        <v>13.056894730371383</v>
      </c>
      <c r="AQ83" s="112">
        <f t="shared" si="257"/>
        <v>222.67218491095886</v>
      </c>
      <c r="AR83" s="255"/>
      <c r="AS83" s="112">
        <f t="shared" ca="1" si="193"/>
        <v>0</v>
      </c>
      <c r="AT83" s="112">
        <f t="shared" ca="1" si="194"/>
        <v>0</v>
      </c>
      <c r="AU83" s="112">
        <f t="shared" ca="1" si="195"/>
        <v>0</v>
      </c>
      <c r="AV83" s="112">
        <f t="shared" ca="1" si="196"/>
        <v>0</v>
      </c>
      <c r="AW83" s="112">
        <f t="shared" ca="1" si="259"/>
        <v>0</v>
      </c>
      <c r="AX83" s="112">
        <f t="shared" ca="1" si="177"/>
        <v>0</v>
      </c>
      <c r="AY83" s="112">
        <f t="shared" si="197"/>
        <v>1.2695074228592935</v>
      </c>
      <c r="AZ83" s="112">
        <f t="shared" si="198"/>
        <v>1.3493558022751824</v>
      </c>
      <c r="BA83" s="112">
        <f t="shared" si="199"/>
        <v>0.99902514042573332</v>
      </c>
      <c r="BB83" s="112">
        <f t="shared" si="200"/>
        <v>0.73202000418459801</v>
      </c>
      <c r="BC83" s="112">
        <f t="shared" si="201"/>
        <v>0.96883382436979226</v>
      </c>
      <c r="BD83" s="112">
        <f t="shared" ca="1" si="202"/>
        <v>68.37</v>
      </c>
      <c r="BE83" s="112">
        <f t="shared" si="203"/>
        <v>13.056894730371383</v>
      </c>
      <c r="BF83" s="112">
        <f t="shared" ca="1" si="204"/>
        <v>13.056894730371383</v>
      </c>
      <c r="BG83" s="112">
        <f t="shared" ca="1" si="205"/>
        <v>13.056894730371383</v>
      </c>
      <c r="BH83" s="112">
        <f t="shared" ca="1" si="206"/>
        <v>0.44879291888493961</v>
      </c>
      <c r="BI83" s="112">
        <f t="shared" ca="1" si="207"/>
        <v>-13.908412021295419</v>
      </c>
      <c r="BJ83" s="112">
        <f t="shared" ca="1" si="208"/>
        <v>-13.908412021295419</v>
      </c>
      <c r="BK83" s="112">
        <f t="shared" ca="1" si="209"/>
        <v>16.485339697868373</v>
      </c>
      <c r="BL83" s="112">
        <f t="shared" ca="1" si="210"/>
        <v>16.485339697868373</v>
      </c>
      <c r="BM83" s="112">
        <f t="shared" ca="1" si="211"/>
        <v>16.485339697868373</v>
      </c>
      <c r="BN83" s="112">
        <f t="shared" ca="1" si="261"/>
        <v>212.46882410321911</v>
      </c>
      <c r="BO83" s="112">
        <f t="shared" ca="1" si="212"/>
        <v>212.46882410321911</v>
      </c>
      <c r="BP83" s="112">
        <f t="shared" ca="1" si="213"/>
        <v>212.46882410321911</v>
      </c>
      <c r="BQ83" s="112">
        <f t="shared" ca="1" si="214"/>
        <v>1.2671549971097031</v>
      </c>
      <c r="BR83" s="112">
        <f t="shared" ca="1" si="215"/>
        <v>0</v>
      </c>
      <c r="BS83" s="112">
        <f t="shared" ca="1" si="216"/>
        <v>0</v>
      </c>
      <c r="BT83" s="112">
        <f t="shared" ca="1" si="217"/>
        <v>0</v>
      </c>
      <c r="BU83" s="112">
        <f t="shared" ca="1" si="218"/>
        <v>0</v>
      </c>
      <c r="BV83" s="112">
        <f t="shared" ca="1" si="219"/>
        <v>1.2677304261865583</v>
      </c>
      <c r="BW83" s="112">
        <f t="shared" ca="1" si="220"/>
        <v>1.7418402864040767</v>
      </c>
      <c r="BX83" s="112">
        <f t="shared" ca="1" si="221"/>
        <v>1.3133422086580731</v>
      </c>
      <c r="BY83" s="112">
        <f t="shared" ca="1" si="222"/>
        <v>5.755355618317106E-2</v>
      </c>
      <c r="BZ83" s="112">
        <f t="shared" ca="1" si="223"/>
        <v>0.45354291558576909</v>
      </c>
      <c r="CA83" s="112">
        <f t="shared" ca="1" si="224"/>
        <v>-9.1116624423430122E-4</v>
      </c>
      <c r="CB83" s="112">
        <v>1</v>
      </c>
      <c r="CC83" s="112">
        <v>1</v>
      </c>
      <c r="CD83" s="112">
        <v>1</v>
      </c>
      <c r="CE83" s="112">
        <v>1</v>
      </c>
      <c r="CF83" s="112">
        <f t="shared" ca="1" si="225"/>
        <v>1.5875602628667123</v>
      </c>
      <c r="CG83" s="112">
        <f t="shared" ca="1" si="226"/>
        <v>1.1958534209555707</v>
      </c>
      <c r="CH83" s="255"/>
      <c r="CI83" s="150" t="str">
        <f t="shared" ca="1" si="178"/>
        <v>C40M10Y10K0</v>
      </c>
      <c r="CJ83" s="125">
        <f t="shared" ca="1" si="227"/>
        <v>0</v>
      </c>
      <c r="CK83" s="125">
        <f t="shared" ca="1" si="228"/>
        <v>0</v>
      </c>
      <c r="CL83" s="125">
        <f t="shared" ca="1" si="229"/>
        <v>0</v>
      </c>
      <c r="CM83" s="112">
        <f t="shared" ca="1" si="179"/>
        <v>0</v>
      </c>
      <c r="CN83" s="112">
        <f t="shared" ca="1" si="230"/>
        <v>0</v>
      </c>
      <c r="CO83" s="112">
        <f t="shared" ca="1" si="231"/>
        <v>0</v>
      </c>
      <c r="CP83" s="112">
        <f t="shared" ca="1" si="232"/>
        <v>0</v>
      </c>
      <c r="CQ83" s="112" t="str">
        <f t="shared" ca="1" si="233"/>
        <v/>
      </c>
      <c r="CR83" s="112" t="str">
        <f t="shared" ca="1" si="234"/>
        <v/>
      </c>
      <c r="CS83" s="112" t="str">
        <f t="shared" ca="1" si="235"/>
        <v/>
      </c>
      <c r="CT83" s="112" t="str">
        <f t="shared" ca="1" si="236"/>
        <v/>
      </c>
      <c r="CU83" s="112" t="str">
        <f t="shared" ca="1" si="237"/>
        <v/>
      </c>
      <c r="CV83" s="112" t="str">
        <f t="shared" ca="1" si="238"/>
        <v/>
      </c>
      <c r="CW83" s="112" t="str">
        <f t="shared" ca="1" si="162"/>
        <v/>
      </c>
      <c r="CX83" s="112" t="str">
        <f t="shared" ca="1" si="239"/>
        <v/>
      </c>
      <c r="CY83" s="112" t="str">
        <f t="shared" ca="1" si="165"/>
        <v/>
      </c>
      <c r="CZ83" s="112" t="str">
        <f t="shared" ca="1" si="240"/>
        <v/>
      </c>
      <c r="DA83" s="112" t="str">
        <f t="shared" ca="1" si="252"/>
        <v/>
      </c>
      <c r="DB83" s="112" t="str">
        <f t="shared" ca="1" si="260"/>
        <v/>
      </c>
      <c r="DC83" s="112" t="str">
        <f t="shared" ca="1" si="163"/>
        <v/>
      </c>
      <c r="DD83" s="112" t="str">
        <f t="shared" ca="1" si="254"/>
        <v/>
      </c>
      <c r="DE83" s="112" t="str">
        <f t="shared" ca="1" si="164"/>
        <v/>
      </c>
      <c r="DF83" s="112" t="str">
        <f t="shared" ca="1" si="244"/>
        <v/>
      </c>
      <c r="DG83" s="125">
        <f t="shared" ca="1" si="180"/>
        <v>40</v>
      </c>
      <c r="DH83" s="125">
        <f t="shared" ca="1" si="181"/>
        <v>10</v>
      </c>
      <c r="DI83" s="125">
        <f t="shared" ca="1" si="182"/>
        <v>10</v>
      </c>
      <c r="DJ83" s="125" t="str">
        <f t="shared" ca="1" si="183"/>
        <v>-</v>
      </c>
      <c r="DK83" s="112">
        <f t="shared" ca="1" si="184"/>
        <v>0.34237470190724456</v>
      </c>
      <c r="DL83" s="112">
        <f t="shared" ca="1" si="185"/>
        <v>0.38476023351523758</v>
      </c>
      <c r="DM83" s="112">
        <f t="shared" ca="1" si="186"/>
        <v>0.37891353013135937</v>
      </c>
      <c r="DN83" s="112">
        <f t="shared" si="187"/>
        <v>0.34237470190724456</v>
      </c>
      <c r="DO83" s="112">
        <f t="shared" si="188"/>
        <v>0.38476023351523758</v>
      </c>
      <c r="DP83" s="112">
        <f t="shared" si="189"/>
        <v>0.37891353013135937</v>
      </c>
      <c r="DQ83" s="112">
        <f t="shared" ca="1" si="258"/>
        <v>68.37</v>
      </c>
      <c r="DR83" s="112">
        <f t="shared" ca="1" si="255"/>
        <v>-9.6</v>
      </c>
      <c r="DS83" s="112">
        <f t="shared" ca="1" si="256"/>
        <v>-8.85</v>
      </c>
      <c r="DT83" s="112">
        <f t="shared" si="241"/>
        <v>68.37</v>
      </c>
      <c r="DU83" s="112">
        <f t="shared" si="242"/>
        <v>-9.6</v>
      </c>
      <c r="DV83" s="112">
        <f t="shared" si="243"/>
        <v>-8.85</v>
      </c>
      <c r="DW83" s="260"/>
      <c r="DX83" s="168"/>
      <c r="DY83" s="168"/>
    </row>
    <row r="84" spans="1:135" s="151" customFormat="1" ht="14" customHeight="1">
      <c r="A84" s="24"/>
      <c r="B84" s="153" t="str">
        <f t="shared" ca="1" si="166"/>
        <v>-</v>
      </c>
      <c r="C84" s="154" t="str">
        <f t="shared" ca="1" si="167"/>
        <v>-</v>
      </c>
      <c r="D84" s="155" t="str">
        <f t="shared" ca="1" si="168"/>
        <v>-</v>
      </c>
      <c r="E84" s="156">
        <f t="shared" ca="1" si="169"/>
        <v>3</v>
      </c>
      <c r="F84" s="184"/>
      <c r="G84" s="195"/>
      <c r="H84" s="239">
        <v>84.88</v>
      </c>
      <c r="I84" s="240">
        <v>-0.02</v>
      </c>
      <c r="J84" s="241">
        <v>2.88</v>
      </c>
      <c r="K84" s="181"/>
      <c r="L84" s="204">
        <f t="shared" ca="1" si="170"/>
        <v>84.88</v>
      </c>
      <c r="M84" s="95">
        <f t="shared" ca="1" si="171"/>
        <v>-0.02</v>
      </c>
      <c r="N84" s="205">
        <f t="shared" ca="1" si="172"/>
        <v>2.88</v>
      </c>
      <c r="O84" s="21"/>
      <c r="P84" s="157">
        <f t="shared" ca="1" si="173"/>
        <v>0</v>
      </c>
      <c r="Q84" s="215"/>
      <c r="R84" s="289">
        <f t="shared" ca="1" si="174"/>
        <v>0</v>
      </c>
      <c r="S84" s="290"/>
      <c r="T84" s="148"/>
      <c r="U84" s="291">
        <f t="shared" ca="1" si="175"/>
        <v>0</v>
      </c>
      <c r="V84" s="292"/>
      <c r="W84" s="23"/>
      <c r="X84" s="291">
        <f t="shared" ca="1" si="176"/>
        <v>0</v>
      </c>
      <c r="Y84" s="292"/>
      <c r="Z84" s="215"/>
      <c r="AA84" s="215"/>
      <c r="AB84" s="215"/>
      <c r="AC84" s="94"/>
      <c r="AD84" s="94"/>
      <c r="AE84" s="149"/>
      <c r="AF84" s="149"/>
      <c r="AG84" s="109">
        <f t="shared" ca="1" si="245"/>
        <v>65.930000000000007</v>
      </c>
      <c r="AH84" s="109">
        <f t="shared" ca="1" si="246"/>
        <v>21.42</v>
      </c>
      <c r="AI84" s="109">
        <f t="shared" ca="1" si="247"/>
        <v>-0.52</v>
      </c>
      <c r="AJ84" s="109">
        <f t="shared" ca="1" si="190"/>
        <v>21.426310928388958</v>
      </c>
      <c r="AK84" s="113">
        <f t="shared" ca="1" si="191"/>
        <v>358.60933919248032</v>
      </c>
      <c r="AL84" s="159"/>
      <c r="AM84" s="112">
        <f t="shared" si="248"/>
        <v>65.930000000000007</v>
      </c>
      <c r="AN84" s="112">
        <f t="shared" si="249"/>
        <v>21.42</v>
      </c>
      <c r="AO84" s="112">
        <f t="shared" si="250"/>
        <v>-0.52</v>
      </c>
      <c r="AP84" s="113">
        <f t="shared" si="192"/>
        <v>21.426310928388958</v>
      </c>
      <c r="AQ84" s="112">
        <f t="shared" si="257"/>
        <v>358.60933919248032</v>
      </c>
      <c r="AR84" s="255"/>
      <c r="AS84" s="112">
        <f t="shared" ca="1" si="193"/>
        <v>0</v>
      </c>
      <c r="AT84" s="112">
        <f t="shared" ca="1" si="194"/>
        <v>0</v>
      </c>
      <c r="AU84" s="112">
        <f t="shared" ca="1" si="195"/>
        <v>0</v>
      </c>
      <c r="AV84" s="112">
        <f t="shared" ca="1" si="196"/>
        <v>0</v>
      </c>
      <c r="AW84" s="112">
        <f t="shared" ca="1" si="259"/>
        <v>0</v>
      </c>
      <c r="AX84" s="112">
        <f t="shared" ca="1" si="177"/>
        <v>0</v>
      </c>
      <c r="AY84" s="112">
        <f t="shared" si="197"/>
        <v>1.2485677654738061</v>
      </c>
      <c r="AZ84" s="112">
        <f t="shared" si="198"/>
        <v>1.7053967338550393</v>
      </c>
      <c r="BA84" s="112">
        <f t="shared" si="199"/>
        <v>1.1844088242648014</v>
      </c>
      <c r="BB84" s="112">
        <f t="shared" si="200"/>
        <v>0.69313241080487709</v>
      </c>
      <c r="BC84" s="112">
        <f t="shared" si="201"/>
        <v>0.99552276700747522</v>
      </c>
      <c r="BD84" s="112">
        <f t="shared" ca="1" si="202"/>
        <v>65.930000000000007</v>
      </c>
      <c r="BE84" s="112">
        <f t="shared" si="203"/>
        <v>21.426310928388958</v>
      </c>
      <c r="BF84" s="112">
        <f t="shared" ca="1" si="204"/>
        <v>21.426310928388958</v>
      </c>
      <c r="BG84" s="112">
        <f t="shared" ca="1" si="205"/>
        <v>21.426310928388958</v>
      </c>
      <c r="BH84" s="112">
        <f t="shared" ca="1" si="206"/>
        <v>0.24823366568603294</v>
      </c>
      <c r="BI84" s="112">
        <f t="shared" ca="1" si="207"/>
        <v>26.737165118994827</v>
      </c>
      <c r="BJ84" s="112">
        <f t="shared" ca="1" si="208"/>
        <v>26.737165118994827</v>
      </c>
      <c r="BK84" s="112">
        <f t="shared" ca="1" si="209"/>
        <v>26.742221272743851</v>
      </c>
      <c r="BL84" s="112">
        <f t="shared" ca="1" si="210"/>
        <v>26.742221272743851</v>
      </c>
      <c r="BM84" s="112">
        <f t="shared" ca="1" si="211"/>
        <v>26.742221272743851</v>
      </c>
      <c r="BN84" s="112">
        <f t="shared" ca="1" si="261"/>
        <v>358.88581868758791</v>
      </c>
      <c r="BO84" s="112">
        <f t="shared" ca="1" si="212"/>
        <v>358.88581868758791</v>
      </c>
      <c r="BP84" s="112">
        <f t="shared" ca="1" si="213"/>
        <v>358.88581868758791</v>
      </c>
      <c r="BQ84" s="112">
        <f t="shared" ca="1" si="214"/>
        <v>1.3372544854279318</v>
      </c>
      <c r="BR84" s="112">
        <f t="shared" ca="1" si="215"/>
        <v>0</v>
      </c>
      <c r="BS84" s="112">
        <f t="shared" ca="1" si="216"/>
        <v>0</v>
      </c>
      <c r="BT84" s="112">
        <f t="shared" ca="1" si="217"/>
        <v>0</v>
      </c>
      <c r="BU84" s="112">
        <f t="shared" ca="1" si="218"/>
        <v>0</v>
      </c>
      <c r="BV84" s="112">
        <f t="shared" ca="1" si="219"/>
        <v>1.2300561925480866</v>
      </c>
      <c r="BW84" s="112">
        <f t="shared" ca="1" si="220"/>
        <v>2.203399957273473</v>
      </c>
      <c r="BX84" s="112">
        <f t="shared" ca="1" si="221"/>
        <v>1.5364173302092445</v>
      </c>
      <c r="BY84" s="112">
        <f t="shared" ca="1" si="222"/>
        <v>3.8675020387696251E-4</v>
      </c>
      <c r="BZ84" s="112">
        <f t="shared" ca="1" si="223"/>
        <v>1.5694029390279949</v>
      </c>
      <c r="CA84" s="112">
        <f t="shared" ca="1" si="224"/>
        <v>-2.118714194217938E-5</v>
      </c>
      <c r="CB84" s="112">
        <v>1</v>
      </c>
      <c r="CC84" s="112">
        <v>1</v>
      </c>
      <c r="CD84" s="112">
        <v>1</v>
      </c>
      <c r="CE84" s="112">
        <v>1</v>
      </c>
      <c r="CF84" s="112">
        <f t="shared" ca="1" si="225"/>
        <v>1.964183991777503</v>
      </c>
      <c r="CG84" s="112">
        <f t="shared" ca="1" si="226"/>
        <v>1.3213946639258345</v>
      </c>
      <c r="CH84" s="255"/>
      <c r="CI84" s="150" t="str">
        <f t="shared" ca="1" si="178"/>
        <v>C10M40Y10K0</v>
      </c>
      <c r="CJ84" s="125">
        <f t="shared" ca="1" si="227"/>
        <v>0</v>
      </c>
      <c r="CK84" s="125">
        <f t="shared" ca="1" si="228"/>
        <v>0</v>
      </c>
      <c r="CL84" s="125">
        <f t="shared" ca="1" si="229"/>
        <v>0</v>
      </c>
      <c r="CM84" s="112">
        <f t="shared" ca="1" si="179"/>
        <v>0</v>
      </c>
      <c r="CN84" s="112">
        <f t="shared" ca="1" si="230"/>
        <v>0</v>
      </c>
      <c r="CO84" s="112">
        <f t="shared" ca="1" si="231"/>
        <v>0</v>
      </c>
      <c r="CP84" s="112">
        <f t="shared" ca="1" si="232"/>
        <v>0</v>
      </c>
      <c r="CQ84" s="112" t="str">
        <f t="shared" ca="1" si="233"/>
        <v/>
      </c>
      <c r="CR84" s="112" t="str">
        <f t="shared" ca="1" si="234"/>
        <v/>
      </c>
      <c r="CS84" s="112" t="str">
        <f t="shared" ca="1" si="235"/>
        <v/>
      </c>
      <c r="CT84" s="112" t="str">
        <f t="shared" ca="1" si="236"/>
        <v/>
      </c>
      <c r="CU84" s="112" t="str">
        <f t="shared" ca="1" si="237"/>
        <v/>
      </c>
      <c r="CV84" s="112" t="str">
        <f t="shared" ca="1" si="238"/>
        <v/>
      </c>
      <c r="CW84" s="112" t="str">
        <f t="shared" ca="1" si="162"/>
        <v/>
      </c>
      <c r="CX84" s="112" t="str">
        <f t="shared" ca="1" si="239"/>
        <v/>
      </c>
      <c r="CY84" s="112" t="str">
        <f t="shared" ca="1" si="165"/>
        <v/>
      </c>
      <c r="CZ84" s="112" t="str">
        <f t="shared" ca="1" si="240"/>
        <v/>
      </c>
      <c r="DA84" s="112" t="str">
        <f t="shared" ca="1" si="252"/>
        <v/>
      </c>
      <c r="DB84" s="112" t="str">
        <f t="shared" ca="1" si="260"/>
        <v/>
      </c>
      <c r="DC84" s="112" t="str">
        <f t="shared" ca="1" si="163"/>
        <v/>
      </c>
      <c r="DD84" s="112" t="str">
        <f t="shared" ca="1" si="254"/>
        <v/>
      </c>
      <c r="DE84" s="112" t="str">
        <f t="shared" ca="1" si="164"/>
        <v/>
      </c>
      <c r="DF84" s="112" t="str">
        <f t="shared" ca="1" si="244"/>
        <v/>
      </c>
      <c r="DG84" s="125">
        <f t="shared" ca="1" si="180"/>
        <v>10</v>
      </c>
      <c r="DH84" s="125">
        <f t="shared" ca="1" si="181"/>
        <v>40</v>
      </c>
      <c r="DI84" s="125">
        <f t="shared" ca="1" si="182"/>
        <v>10</v>
      </c>
      <c r="DJ84" s="125" t="str">
        <f t="shared" ca="1" si="183"/>
        <v>-</v>
      </c>
      <c r="DK84" s="112">
        <f t="shared" ca="1" si="184"/>
        <v>0.40536298819130828</v>
      </c>
      <c r="DL84" s="112">
        <f t="shared" ca="1" si="185"/>
        <v>0.35233427791281424</v>
      </c>
      <c r="DM84" s="112">
        <f t="shared" ca="1" si="186"/>
        <v>0.29386208621855714</v>
      </c>
      <c r="DN84" s="112">
        <f t="shared" si="187"/>
        <v>0.40536298819130828</v>
      </c>
      <c r="DO84" s="112">
        <f t="shared" si="188"/>
        <v>0.35233427791281424</v>
      </c>
      <c r="DP84" s="112">
        <f t="shared" si="189"/>
        <v>0.29386208621855714</v>
      </c>
      <c r="DQ84" s="112">
        <f t="shared" ca="1" si="258"/>
        <v>65.930000000000007</v>
      </c>
      <c r="DR84" s="112">
        <f t="shared" ca="1" si="255"/>
        <v>21.42</v>
      </c>
      <c r="DS84" s="112">
        <f t="shared" ca="1" si="256"/>
        <v>-0.52</v>
      </c>
      <c r="DT84" s="112">
        <f t="shared" si="241"/>
        <v>65.930000000000007</v>
      </c>
      <c r="DU84" s="112">
        <f t="shared" si="242"/>
        <v>21.42</v>
      </c>
      <c r="DV84" s="112">
        <f t="shared" si="243"/>
        <v>-0.52</v>
      </c>
      <c r="DW84" s="260"/>
      <c r="DX84" s="168"/>
      <c r="DY84" s="168"/>
    </row>
    <row r="85" spans="1:135" s="151" customFormat="1" ht="14" customHeight="1">
      <c r="A85" s="158"/>
      <c r="B85" s="153">
        <f t="shared" ca="1" si="166"/>
        <v>3</v>
      </c>
      <c r="C85" s="154">
        <f t="shared" ca="1" si="167"/>
        <v>2.238</v>
      </c>
      <c r="D85" s="155">
        <f t="shared" ca="1" si="168"/>
        <v>2.238</v>
      </c>
      <c r="E85" s="156" t="str">
        <f t="shared" ca="1" si="169"/>
        <v>-</v>
      </c>
      <c r="F85" s="184"/>
      <c r="G85" s="195"/>
      <c r="H85" s="239">
        <v>84.68</v>
      </c>
      <c r="I85" s="240">
        <v>0.19</v>
      </c>
      <c r="J85" s="241">
        <v>2.89</v>
      </c>
      <c r="K85" s="181"/>
      <c r="L85" s="204">
        <f t="shared" ca="1" si="170"/>
        <v>84.68</v>
      </c>
      <c r="M85" s="95">
        <f t="shared" ca="1" si="171"/>
        <v>0.19</v>
      </c>
      <c r="N85" s="205">
        <f t="shared" ca="1" si="172"/>
        <v>2.89</v>
      </c>
      <c r="O85" s="21"/>
      <c r="P85" s="157">
        <f t="shared" ca="1" si="173"/>
        <v>0</v>
      </c>
      <c r="Q85" s="215"/>
      <c r="R85" s="289">
        <f t="shared" ca="1" si="174"/>
        <v>0</v>
      </c>
      <c r="S85" s="290"/>
      <c r="T85" s="148"/>
      <c r="U85" s="291">
        <f t="shared" ca="1" si="175"/>
        <v>0</v>
      </c>
      <c r="V85" s="292"/>
      <c r="W85" s="23"/>
      <c r="X85" s="291">
        <f t="shared" ca="1" si="176"/>
        <v>0</v>
      </c>
      <c r="Y85" s="292"/>
      <c r="Z85" s="215"/>
      <c r="AA85" s="215"/>
      <c r="AB85" s="215"/>
      <c r="AC85" s="94"/>
      <c r="AD85" s="94"/>
      <c r="AE85" s="149"/>
      <c r="AF85" s="149"/>
      <c r="AG85" s="109">
        <f t="shared" ca="1" si="245"/>
        <v>76.33</v>
      </c>
      <c r="AH85" s="109">
        <f t="shared" ca="1" si="246"/>
        <v>-0.41</v>
      </c>
      <c r="AI85" s="109">
        <f t="shared" ca="1" si="247"/>
        <v>26.29</v>
      </c>
      <c r="AJ85" s="109">
        <f t="shared" ca="1" si="190"/>
        <v>26.293196838726171</v>
      </c>
      <c r="AK85" s="113">
        <f t="shared" ca="1" si="191"/>
        <v>90.893471487964206</v>
      </c>
      <c r="AL85" s="159"/>
      <c r="AM85" s="112">
        <f t="shared" si="248"/>
        <v>76.33</v>
      </c>
      <c r="AN85" s="112">
        <f t="shared" si="249"/>
        <v>-0.41</v>
      </c>
      <c r="AO85" s="112">
        <f t="shared" si="250"/>
        <v>26.29</v>
      </c>
      <c r="AP85" s="113">
        <f t="shared" si="192"/>
        <v>26.293196838726171</v>
      </c>
      <c r="AQ85" s="112">
        <f t="shared" si="257"/>
        <v>90.893471487964206</v>
      </c>
      <c r="AR85" s="255"/>
      <c r="AS85" s="112">
        <f t="shared" ca="1" si="193"/>
        <v>0</v>
      </c>
      <c r="AT85" s="112">
        <f t="shared" ca="1" si="194"/>
        <v>0</v>
      </c>
      <c r="AU85" s="112">
        <f t="shared" ca="1" si="195"/>
        <v>0</v>
      </c>
      <c r="AV85" s="112">
        <f t="shared" ca="1" si="196"/>
        <v>0</v>
      </c>
      <c r="AW85" s="112">
        <f t="shared" ca="1" si="259"/>
        <v>0</v>
      </c>
      <c r="AX85" s="112">
        <f t="shared" ca="1" si="177"/>
        <v>0</v>
      </c>
      <c r="AY85" s="112">
        <f t="shared" si="197"/>
        <v>1.3324766122712166</v>
      </c>
      <c r="AZ85" s="112">
        <f t="shared" si="198"/>
        <v>1.8857350138842768</v>
      </c>
      <c r="BA85" s="112">
        <f t="shared" si="199"/>
        <v>1.1226074961609387</v>
      </c>
      <c r="BB85" s="112">
        <f t="shared" si="200"/>
        <v>0.59451202140810966</v>
      </c>
      <c r="BC85" s="112">
        <f t="shared" si="201"/>
        <v>0.99801821051593609</v>
      </c>
      <c r="BD85" s="112">
        <f t="shared" ca="1" si="202"/>
        <v>76.33</v>
      </c>
      <c r="BE85" s="112">
        <f t="shared" si="203"/>
        <v>26.293196838726171</v>
      </c>
      <c r="BF85" s="112">
        <f t="shared" ca="1" si="204"/>
        <v>26.293196838726171</v>
      </c>
      <c r="BG85" s="112">
        <f t="shared" ca="1" si="205"/>
        <v>26.293196838726171</v>
      </c>
      <c r="BH85" s="112">
        <f t="shared" ca="1" si="206"/>
        <v>0.11680462567175465</v>
      </c>
      <c r="BI85" s="112">
        <f t="shared" ca="1" si="207"/>
        <v>-0.45788989652541934</v>
      </c>
      <c r="BJ85" s="112">
        <f t="shared" ca="1" si="208"/>
        <v>-0.45788989652541934</v>
      </c>
      <c r="BK85" s="112">
        <f t="shared" ca="1" si="209"/>
        <v>26.293987205392416</v>
      </c>
      <c r="BL85" s="112">
        <f t="shared" ca="1" si="210"/>
        <v>26.293987205392416</v>
      </c>
      <c r="BM85" s="112">
        <f t="shared" ca="1" si="211"/>
        <v>26.293987205392416</v>
      </c>
      <c r="BN85" s="112">
        <f t="shared" ca="1" si="261"/>
        <v>90.997813094034342</v>
      </c>
      <c r="BO85" s="112">
        <f t="shared" ca="1" si="212"/>
        <v>90.997813094034342</v>
      </c>
      <c r="BP85" s="112">
        <f t="shared" ca="1" si="213"/>
        <v>90.997813094034342</v>
      </c>
      <c r="BQ85" s="112">
        <f t="shared" ca="1" si="214"/>
        <v>0.6247636497526613</v>
      </c>
      <c r="BR85" s="112">
        <f t="shared" ca="1" si="215"/>
        <v>0</v>
      </c>
      <c r="BS85" s="112">
        <f t="shared" ca="1" si="216"/>
        <v>0</v>
      </c>
      <c r="BT85" s="112">
        <f t="shared" ca="1" si="217"/>
        <v>0</v>
      </c>
      <c r="BU85" s="112">
        <f t="shared" ca="1" si="218"/>
        <v>0</v>
      </c>
      <c r="BV85" s="112">
        <f t="shared" ca="1" si="219"/>
        <v>1.3893734481468127</v>
      </c>
      <c r="BW85" s="112">
        <f t="shared" ca="1" si="220"/>
        <v>2.1832294242426586</v>
      </c>
      <c r="BX85" s="112">
        <f t="shared" ca="1" si="221"/>
        <v>1.2464129111948612</v>
      </c>
      <c r="BY85" s="112">
        <f t="shared" ca="1" si="222"/>
        <v>8.9331302255160186E-23</v>
      </c>
      <c r="BZ85" s="112">
        <f t="shared" ca="1" si="223"/>
        <v>1.532848037864698</v>
      </c>
      <c r="CA85" s="112">
        <f t="shared" ca="1" si="224"/>
        <v>-4.7798044653692192E-24</v>
      </c>
      <c r="CB85" s="112">
        <v>1</v>
      </c>
      <c r="CC85" s="112">
        <v>1</v>
      </c>
      <c r="CD85" s="112">
        <v>1</v>
      </c>
      <c r="CE85" s="112">
        <v>1</v>
      </c>
      <c r="CF85" s="112">
        <f t="shared" ca="1" si="225"/>
        <v>2.1831938577426779</v>
      </c>
      <c r="CG85" s="112">
        <f t="shared" ca="1" si="226"/>
        <v>1.3943979525808925</v>
      </c>
      <c r="CH85" s="255"/>
      <c r="CI85" s="150" t="str">
        <f t="shared" ca="1" si="178"/>
        <v>C10M10Y40K0</v>
      </c>
      <c r="CJ85" s="125">
        <f t="shared" ca="1" si="227"/>
        <v>0</v>
      </c>
      <c r="CK85" s="125">
        <f t="shared" ca="1" si="228"/>
        <v>0</v>
      </c>
      <c r="CL85" s="125">
        <f t="shared" ca="1" si="229"/>
        <v>0</v>
      </c>
      <c r="CM85" s="112">
        <f t="shared" ca="1" si="179"/>
        <v>0</v>
      </c>
      <c r="CN85" s="112">
        <f t="shared" ca="1" si="230"/>
        <v>0</v>
      </c>
      <c r="CO85" s="112">
        <f t="shared" ca="1" si="231"/>
        <v>0</v>
      </c>
      <c r="CP85" s="112">
        <f t="shared" ca="1" si="232"/>
        <v>0</v>
      </c>
      <c r="CQ85" s="112" t="str">
        <f t="shared" ca="1" si="233"/>
        <v/>
      </c>
      <c r="CR85" s="112" t="str">
        <f t="shared" ca="1" si="234"/>
        <v/>
      </c>
      <c r="CS85" s="112" t="str">
        <f t="shared" ca="1" si="235"/>
        <v/>
      </c>
      <c r="CT85" s="112" t="str">
        <f t="shared" ca="1" si="236"/>
        <v/>
      </c>
      <c r="CU85" s="112" t="str">
        <f t="shared" ca="1" si="237"/>
        <v/>
      </c>
      <c r="CV85" s="112" t="str">
        <f t="shared" ca="1" si="238"/>
        <v/>
      </c>
      <c r="CW85" s="112" t="str">
        <f t="shared" ca="1" si="162"/>
        <v/>
      </c>
      <c r="CX85" s="112" t="str">
        <f t="shared" ca="1" si="239"/>
        <v/>
      </c>
      <c r="CY85" s="112" t="str">
        <f t="shared" ca="1" si="165"/>
        <v/>
      </c>
      <c r="CZ85" s="112" t="str">
        <f t="shared" ca="1" si="240"/>
        <v/>
      </c>
      <c r="DA85" s="112" t="str">
        <f t="shared" ca="1" si="252"/>
        <v/>
      </c>
      <c r="DB85" s="112" t="str">
        <f t="shared" ca="1" si="260"/>
        <v/>
      </c>
      <c r="DC85" s="112" t="str">
        <f t="shared" ca="1" si="163"/>
        <v/>
      </c>
      <c r="DD85" s="112" t="str">
        <f t="shared" ca="1" si="254"/>
        <v/>
      </c>
      <c r="DE85" s="112" t="str">
        <f t="shared" ca="1" si="164"/>
        <v/>
      </c>
      <c r="DF85" s="112" t="str">
        <f t="shared" ca="1" si="244"/>
        <v/>
      </c>
      <c r="DG85" s="125">
        <f t="shared" ca="1" si="180"/>
        <v>10</v>
      </c>
      <c r="DH85" s="125">
        <f t="shared" ca="1" si="181"/>
        <v>10</v>
      </c>
      <c r="DI85" s="125">
        <f t="shared" ca="1" si="182"/>
        <v>40</v>
      </c>
      <c r="DJ85" s="125" t="str">
        <f t="shared" ca="1" si="183"/>
        <v>-</v>
      </c>
      <c r="DK85" s="112">
        <f t="shared" ca="1" si="184"/>
        <v>0.48470636267225276</v>
      </c>
      <c r="DL85" s="112">
        <f t="shared" ca="1" si="185"/>
        <v>0.5042600226645465</v>
      </c>
      <c r="DM85" s="112">
        <f t="shared" ca="1" si="186"/>
        <v>0.24203762286362385</v>
      </c>
      <c r="DN85" s="112">
        <f t="shared" si="187"/>
        <v>0.48470636267225276</v>
      </c>
      <c r="DO85" s="112">
        <f t="shared" si="188"/>
        <v>0.5042600226645465</v>
      </c>
      <c r="DP85" s="112">
        <f t="shared" si="189"/>
        <v>0.24203762286362385</v>
      </c>
      <c r="DQ85" s="112">
        <f t="shared" ca="1" si="258"/>
        <v>76.33</v>
      </c>
      <c r="DR85" s="112">
        <f t="shared" ca="1" si="255"/>
        <v>-0.41</v>
      </c>
      <c r="DS85" s="112">
        <f t="shared" ca="1" si="256"/>
        <v>26.29</v>
      </c>
      <c r="DT85" s="112">
        <f t="shared" si="241"/>
        <v>76.33</v>
      </c>
      <c r="DU85" s="112">
        <f t="shared" si="242"/>
        <v>-0.41</v>
      </c>
      <c r="DV85" s="112">
        <f t="shared" si="243"/>
        <v>26.29</v>
      </c>
      <c r="DW85" s="260"/>
      <c r="DX85" s="168"/>
      <c r="DY85" s="168"/>
    </row>
    <row r="86" spans="1:135" s="151" customFormat="1" ht="14" customHeight="1">
      <c r="A86" s="215"/>
      <c r="B86" s="153">
        <f t="shared" ca="1" si="166"/>
        <v>70</v>
      </c>
      <c r="C86" s="154">
        <f t="shared" ca="1" si="167"/>
        <v>70</v>
      </c>
      <c r="D86" s="155">
        <f t="shared" ca="1" si="168"/>
        <v>40</v>
      </c>
      <c r="E86" s="156" t="str">
        <f t="shared" ca="1" si="169"/>
        <v>-</v>
      </c>
      <c r="F86" s="184"/>
      <c r="G86" s="195"/>
      <c r="H86" s="239">
        <v>42.27</v>
      </c>
      <c r="I86" s="240">
        <v>7.59</v>
      </c>
      <c r="J86" s="241">
        <v>-9.49</v>
      </c>
      <c r="K86" s="181"/>
      <c r="L86" s="204">
        <f t="shared" ca="1" si="170"/>
        <v>42.27</v>
      </c>
      <c r="M86" s="95">
        <f t="shared" ca="1" si="171"/>
        <v>7.59</v>
      </c>
      <c r="N86" s="205">
        <f t="shared" ca="1" si="172"/>
        <v>-9.49</v>
      </c>
      <c r="O86" s="21"/>
      <c r="P86" s="157">
        <f t="shared" ca="1" si="173"/>
        <v>0</v>
      </c>
      <c r="Q86" s="215"/>
      <c r="R86" s="289">
        <f t="shared" ca="1" si="174"/>
        <v>0</v>
      </c>
      <c r="S86" s="290"/>
      <c r="T86" s="148"/>
      <c r="U86" s="291">
        <f t="shared" ca="1" si="175"/>
        <v>0</v>
      </c>
      <c r="V86" s="292"/>
      <c r="W86" s="23"/>
      <c r="X86" s="291">
        <f t="shared" ca="1" si="176"/>
        <v>0</v>
      </c>
      <c r="Y86" s="292"/>
      <c r="Z86" s="94"/>
      <c r="AA86" s="94"/>
      <c r="AB86" s="215"/>
      <c r="AC86" s="94"/>
      <c r="AD86" s="94"/>
      <c r="AE86" s="149"/>
      <c r="AF86" s="149"/>
      <c r="AG86" s="109">
        <f t="shared" ca="1" si="245"/>
        <v>58.16</v>
      </c>
      <c r="AH86" s="109">
        <f t="shared" ca="1" si="246"/>
        <v>8.11</v>
      </c>
      <c r="AI86" s="109">
        <f t="shared" ca="1" si="247"/>
        <v>-12.18</v>
      </c>
      <c r="AJ86" s="109">
        <f t="shared" ca="1" si="190"/>
        <v>14.632993541992697</v>
      </c>
      <c r="AK86" s="113">
        <f t="shared" ca="1" si="191"/>
        <v>303.65748842817572</v>
      </c>
      <c r="AL86" s="159"/>
      <c r="AM86" s="112">
        <f t="shared" si="248"/>
        <v>58.16</v>
      </c>
      <c r="AN86" s="112">
        <f t="shared" si="249"/>
        <v>8.11</v>
      </c>
      <c r="AO86" s="112">
        <f t="shared" si="250"/>
        <v>-12.18</v>
      </c>
      <c r="AP86" s="113">
        <f t="shared" si="192"/>
        <v>14.632993541992697</v>
      </c>
      <c r="AQ86" s="112">
        <f t="shared" si="257"/>
        <v>303.65748842817572</v>
      </c>
      <c r="AR86" s="255"/>
      <c r="AS86" s="112">
        <f t="shared" ca="1" si="193"/>
        <v>0</v>
      </c>
      <c r="AT86" s="112">
        <f t="shared" ca="1" si="194"/>
        <v>0</v>
      </c>
      <c r="AU86" s="112">
        <f t="shared" ca="1" si="195"/>
        <v>0</v>
      </c>
      <c r="AV86" s="112">
        <f t="shared" ca="1" si="196"/>
        <v>0</v>
      </c>
      <c r="AW86" s="112">
        <f t="shared" ca="1" si="259"/>
        <v>0</v>
      </c>
      <c r="AX86" s="112">
        <f t="shared" ca="1" si="177"/>
        <v>0</v>
      </c>
      <c r="AY86" s="112">
        <f t="shared" si="197"/>
        <v>1.1759574522680212</v>
      </c>
      <c r="AZ86" s="112">
        <f t="shared" si="198"/>
        <v>1.4214111659995092</v>
      </c>
      <c r="BA86" s="112">
        <f t="shared" si="199"/>
        <v>0.91136753471714793</v>
      </c>
      <c r="BB86" s="112">
        <f t="shared" si="200"/>
        <v>0.63381145398982319</v>
      </c>
      <c r="BC86" s="112">
        <f t="shared" si="201"/>
        <v>0.97990246555873384</v>
      </c>
      <c r="BD86" s="112">
        <f t="shared" ca="1" si="202"/>
        <v>58.16</v>
      </c>
      <c r="BE86" s="112">
        <f t="shared" si="203"/>
        <v>14.632993541992697</v>
      </c>
      <c r="BF86" s="112">
        <f t="shared" ca="1" si="204"/>
        <v>14.632993541992697</v>
      </c>
      <c r="BG86" s="112">
        <f t="shared" ca="1" si="205"/>
        <v>14.632993541992697</v>
      </c>
      <c r="BH86" s="112">
        <f t="shared" ca="1" si="206"/>
        <v>0.42417815967664219</v>
      </c>
      <c r="BI86" s="112">
        <f t="shared" ca="1" si="207"/>
        <v>11.550084874977566</v>
      </c>
      <c r="BJ86" s="112">
        <f t="shared" ca="1" si="208"/>
        <v>11.550084874977566</v>
      </c>
      <c r="BK86" s="112">
        <f t="shared" ca="1" si="209"/>
        <v>16.785614692920412</v>
      </c>
      <c r="BL86" s="112">
        <f t="shared" ca="1" si="210"/>
        <v>16.785614692920412</v>
      </c>
      <c r="BM86" s="112">
        <f t="shared" ca="1" si="211"/>
        <v>16.785614692920412</v>
      </c>
      <c r="BN86" s="112">
        <f t="shared" ca="1" si="261"/>
        <v>313.47944056010158</v>
      </c>
      <c r="BO86" s="112">
        <f t="shared" ca="1" si="212"/>
        <v>313.47944056010158</v>
      </c>
      <c r="BP86" s="112">
        <f t="shared" ca="1" si="213"/>
        <v>313.47944056010158</v>
      </c>
      <c r="BQ86" s="112">
        <f t="shared" ca="1" si="214"/>
        <v>0.79852328552827789</v>
      </c>
      <c r="BR86" s="112">
        <f t="shared" ca="1" si="215"/>
        <v>0</v>
      </c>
      <c r="BS86" s="112">
        <f t="shared" ca="1" si="216"/>
        <v>0</v>
      </c>
      <c r="BT86" s="112">
        <f t="shared" ca="1" si="217"/>
        <v>0</v>
      </c>
      <c r="BU86" s="112">
        <f t="shared" ca="1" si="218"/>
        <v>0</v>
      </c>
      <c r="BV86" s="112">
        <f t="shared" ca="1" si="219"/>
        <v>1.1073368241045682</v>
      </c>
      <c r="BW86" s="112">
        <f t="shared" ca="1" si="220"/>
        <v>1.7553526611814185</v>
      </c>
      <c r="BX86" s="112">
        <f t="shared" ca="1" si="221"/>
        <v>1.2010555629130382</v>
      </c>
      <c r="BY86" s="112">
        <f t="shared" ca="1" si="222"/>
        <v>2.8070374202905932</v>
      </c>
      <c r="BZ86" s="112">
        <f t="shared" ca="1" si="223"/>
        <v>0.4814567522117072</v>
      </c>
      <c r="CA86" s="112">
        <f t="shared" ca="1" si="224"/>
        <v>-4.7099651073957791E-2</v>
      </c>
      <c r="CB86" s="112">
        <v>1</v>
      </c>
      <c r="CC86" s="112">
        <v>1</v>
      </c>
      <c r="CD86" s="112">
        <v>1</v>
      </c>
      <c r="CE86" s="112">
        <v>1</v>
      </c>
      <c r="CF86" s="112">
        <f t="shared" ca="1" si="225"/>
        <v>1.6584847093896713</v>
      </c>
      <c r="CG86" s="112">
        <f t="shared" ca="1" si="226"/>
        <v>1.2194949031298905</v>
      </c>
      <c r="CH86" s="255"/>
      <c r="CI86" s="150" t="str">
        <f t="shared" ca="1" si="178"/>
        <v>C40M40Y10K0</v>
      </c>
      <c r="CJ86" s="125">
        <f t="shared" ca="1" si="227"/>
        <v>0</v>
      </c>
      <c r="CK86" s="125">
        <f t="shared" ca="1" si="228"/>
        <v>0</v>
      </c>
      <c r="CL86" s="125">
        <f t="shared" ca="1" si="229"/>
        <v>0</v>
      </c>
      <c r="CM86" s="112">
        <f t="shared" ca="1" si="179"/>
        <v>0</v>
      </c>
      <c r="CN86" s="112">
        <f t="shared" ca="1" si="230"/>
        <v>0</v>
      </c>
      <c r="CO86" s="112">
        <f t="shared" ca="1" si="231"/>
        <v>0</v>
      </c>
      <c r="CP86" s="112">
        <f t="shared" ca="1" si="232"/>
        <v>0</v>
      </c>
      <c r="CQ86" s="112" t="str">
        <f t="shared" ca="1" si="233"/>
        <v/>
      </c>
      <c r="CR86" s="112" t="str">
        <f t="shared" ca="1" si="234"/>
        <v/>
      </c>
      <c r="CS86" s="112" t="str">
        <f t="shared" ca="1" si="235"/>
        <v/>
      </c>
      <c r="CT86" s="112" t="str">
        <f t="shared" ca="1" si="236"/>
        <v/>
      </c>
      <c r="CU86" s="112" t="str">
        <f t="shared" ca="1" si="237"/>
        <v/>
      </c>
      <c r="CV86" s="112" t="str">
        <f t="shared" ca="1" si="238"/>
        <v/>
      </c>
      <c r="CW86" s="112" t="str">
        <f t="shared" ca="1" si="162"/>
        <v/>
      </c>
      <c r="CX86" s="112" t="str">
        <f t="shared" ca="1" si="239"/>
        <v/>
      </c>
      <c r="CY86" s="112" t="str">
        <f t="shared" ca="1" si="165"/>
        <v/>
      </c>
      <c r="CZ86" s="112" t="str">
        <f t="shared" ca="1" si="240"/>
        <v/>
      </c>
      <c r="DA86" s="112" t="str">
        <f t="shared" ca="1" si="252"/>
        <v/>
      </c>
      <c r="DB86" s="112" t="str">
        <f t="shared" ca="1" si="260"/>
        <v/>
      </c>
      <c r="DC86" s="112" t="str">
        <f t="shared" ca="1" si="163"/>
        <v/>
      </c>
      <c r="DD86" s="112" t="str">
        <f t="shared" ca="1" si="254"/>
        <v/>
      </c>
      <c r="DE86" s="112" t="str">
        <f t="shared" ca="1" si="164"/>
        <v/>
      </c>
      <c r="DF86" s="112" t="str">
        <f t="shared" ca="1" si="244"/>
        <v/>
      </c>
      <c r="DG86" s="125">
        <f t="shared" ca="1" si="180"/>
        <v>40</v>
      </c>
      <c r="DH86" s="125">
        <f t="shared" ca="1" si="181"/>
        <v>40</v>
      </c>
      <c r="DI86" s="125">
        <f t="shared" ca="1" si="182"/>
        <v>10</v>
      </c>
      <c r="DJ86" s="125" t="str">
        <f t="shared" ca="1" si="183"/>
        <v>-</v>
      </c>
      <c r="DK86" s="112">
        <f t="shared" ca="1" si="184"/>
        <v>0.2716098575388054</v>
      </c>
      <c r="DL86" s="112">
        <f t="shared" ca="1" si="185"/>
        <v>0.26129746459469433</v>
      </c>
      <c r="DM86" s="112">
        <f t="shared" ca="1" si="186"/>
        <v>0.28319584142172088</v>
      </c>
      <c r="DN86" s="112">
        <f t="shared" si="187"/>
        <v>0.2716098575388054</v>
      </c>
      <c r="DO86" s="112">
        <f t="shared" si="188"/>
        <v>0.26129746459469433</v>
      </c>
      <c r="DP86" s="112">
        <f t="shared" si="189"/>
        <v>0.28319584142172088</v>
      </c>
      <c r="DQ86" s="112">
        <f t="shared" ca="1" si="258"/>
        <v>58.16</v>
      </c>
      <c r="DR86" s="112">
        <f t="shared" ca="1" si="255"/>
        <v>8.11</v>
      </c>
      <c r="DS86" s="112">
        <f t="shared" ca="1" si="256"/>
        <v>-12.18</v>
      </c>
      <c r="DT86" s="112">
        <f t="shared" si="241"/>
        <v>58.16</v>
      </c>
      <c r="DU86" s="112">
        <f t="shared" si="242"/>
        <v>8.11</v>
      </c>
      <c r="DV86" s="112">
        <f t="shared" si="243"/>
        <v>-12.18</v>
      </c>
      <c r="DW86" s="260"/>
      <c r="DX86" s="168"/>
      <c r="DY86" s="168"/>
    </row>
    <row r="87" spans="1:135" s="151" customFormat="1" ht="14" customHeight="1">
      <c r="A87" s="215"/>
      <c r="B87" s="153" t="str">
        <f t="shared" ca="1" si="166"/>
        <v>-</v>
      </c>
      <c r="C87" s="154" t="str">
        <f t="shared" ca="1" si="167"/>
        <v>-</v>
      </c>
      <c r="D87" s="155" t="str">
        <f t="shared" ca="1" si="168"/>
        <v>-</v>
      </c>
      <c r="E87" s="156">
        <f t="shared" ca="1" si="169"/>
        <v>10</v>
      </c>
      <c r="F87" s="184"/>
      <c r="G87" s="195"/>
      <c r="H87" s="239">
        <v>80.05</v>
      </c>
      <c r="I87" s="240">
        <v>-0.05</v>
      </c>
      <c r="J87" s="241">
        <v>2.5299999999999998</v>
      </c>
      <c r="K87" s="181"/>
      <c r="L87" s="204">
        <f t="shared" ca="1" si="170"/>
        <v>80.05</v>
      </c>
      <c r="M87" s="95">
        <f t="shared" ca="1" si="171"/>
        <v>-0.05</v>
      </c>
      <c r="N87" s="205">
        <f t="shared" ca="1" si="172"/>
        <v>2.5299999999999998</v>
      </c>
      <c r="O87" s="21"/>
      <c r="P87" s="157">
        <f t="shared" ca="1" si="173"/>
        <v>0</v>
      </c>
      <c r="Q87" s="215"/>
      <c r="R87" s="289">
        <f t="shared" ca="1" si="174"/>
        <v>0</v>
      </c>
      <c r="S87" s="290"/>
      <c r="T87" s="148"/>
      <c r="U87" s="291">
        <f t="shared" ca="1" si="175"/>
        <v>0</v>
      </c>
      <c r="V87" s="292"/>
      <c r="W87" s="23"/>
      <c r="X87" s="291">
        <f t="shared" ca="1" si="176"/>
        <v>0</v>
      </c>
      <c r="Y87" s="292"/>
      <c r="Z87" s="94"/>
      <c r="AA87" s="94"/>
      <c r="AB87" s="94"/>
      <c r="AC87" s="94"/>
      <c r="AD87" s="94"/>
      <c r="AE87" s="149"/>
      <c r="AF87" s="149"/>
      <c r="AG87" s="109">
        <f t="shared" ca="1" si="245"/>
        <v>64.77</v>
      </c>
      <c r="AH87" s="109">
        <f t="shared" ca="1" si="246"/>
        <v>19.41</v>
      </c>
      <c r="AI87" s="109">
        <f t="shared" ca="1" si="247"/>
        <v>17.440000000000001</v>
      </c>
      <c r="AJ87" s="109">
        <f t="shared" ca="1" si="190"/>
        <v>26.094093201335816</v>
      </c>
      <c r="AK87" s="113">
        <f t="shared" ca="1" si="191"/>
        <v>41.939882203902719</v>
      </c>
      <c r="AL87" s="159"/>
      <c r="AM87" s="112">
        <f t="shared" si="248"/>
        <v>64.77</v>
      </c>
      <c r="AN87" s="112">
        <f t="shared" si="249"/>
        <v>19.41</v>
      </c>
      <c r="AO87" s="112">
        <f t="shared" si="250"/>
        <v>17.440000000000001</v>
      </c>
      <c r="AP87" s="113">
        <f t="shared" si="192"/>
        <v>26.094093201335816</v>
      </c>
      <c r="AQ87" s="112">
        <f t="shared" si="257"/>
        <v>41.939882203902719</v>
      </c>
      <c r="AR87" s="255"/>
      <c r="AS87" s="112">
        <f t="shared" ca="1" si="193"/>
        <v>0</v>
      </c>
      <c r="AT87" s="112">
        <f t="shared" ca="1" si="194"/>
        <v>0</v>
      </c>
      <c r="AU87" s="112">
        <f t="shared" ca="1" si="195"/>
        <v>0</v>
      </c>
      <c r="AV87" s="112">
        <f t="shared" ca="1" si="196"/>
        <v>0</v>
      </c>
      <c r="AW87" s="112">
        <f t="shared" ca="1" si="259"/>
        <v>0</v>
      </c>
      <c r="AX87" s="112">
        <f t="shared" ca="1" si="177"/>
        <v>0</v>
      </c>
      <c r="AY87" s="112">
        <f t="shared" si="197"/>
        <v>1.2383177090417299</v>
      </c>
      <c r="AZ87" s="112">
        <f t="shared" si="198"/>
        <v>1.8786936008770421</v>
      </c>
      <c r="BA87" s="112">
        <f t="shared" si="199"/>
        <v>0.84825280367086753</v>
      </c>
      <c r="BB87" s="112">
        <f t="shared" si="200"/>
        <v>0.45038931660419179</v>
      </c>
      <c r="BC87" s="112">
        <f t="shared" si="201"/>
        <v>0.99795721610354049</v>
      </c>
      <c r="BD87" s="112">
        <f t="shared" ca="1" si="202"/>
        <v>64.77</v>
      </c>
      <c r="BE87" s="112">
        <f t="shared" si="203"/>
        <v>26.094093201335816</v>
      </c>
      <c r="BF87" s="112">
        <f t="shared" ca="1" si="204"/>
        <v>26.094093201335816</v>
      </c>
      <c r="BG87" s="112">
        <f t="shared" ca="1" si="205"/>
        <v>26.094093201335816</v>
      </c>
      <c r="BH87" s="112">
        <f t="shared" ca="1" si="206"/>
        <v>0.12105361228464295</v>
      </c>
      <c r="BI87" s="112">
        <f t="shared" ca="1" si="207"/>
        <v>21.759650614444919</v>
      </c>
      <c r="BJ87" s="112">
        <f t="shared" ca="1" si="208"/>
        <v>21.759650614444919</v>
      </c>
      <c r="BK87" s="112">
        <f t="shared" ca="1" si="209"/>
        <v>27.886125490335033</v>
      </c>
      <c r="BL87" s="112">
        <f t="shared" ca="1" si="210"/>
        <v>27.886125490335033</v>
      </c>
      <c r="BM87" s="112">
        <f t="shared" ca="1" si="211"/>
        <v>27.886125490335033</v>
      </c>
      <c r="BN87" s="112">
        <f t="shared" ca="1" si="261"/>
        <v>38.71159748990226</v>
      </c>
      <c r="BO87" s="112">
        <f t="shared" ca="1" si="212"/>
        <v>38.71159748990226</v>
      </c>
      <c r="BP87" s="112">
        <f t="shared" ca="1" si="213"/>
        <v>38.71159748990226</v>
      </c>
      <c r="BQ87" s="112">
        <f t="shared" ca="1" si="214"/>
        <v>0.72045267866521101</v>
      </c>
      <c r="BR87" s="112">
        <f t="shared" ca="1" si="215"/>
        <v>0</v>
      </c>
      <c r="BS87" s="112">
        <f t="shared" ca="1" si="216"/>
        <v>0</v>
      </c>
      <c r="BT87" s="112">
        <f t="shared" ca="1" si="217"/>
        <v>0</v>
      </c>
      <c r="BU87" s="112">
        <f t="shared" ca="1" si="218"/>
        <v>0</v>
      </c>
      <c r="BV87" s="112">
        <f t="shared" ca="1" si="219"/>
        <v>1.212043181871346</v>
      </c>
      <c r="BW87" s="112">
        <f t="shared" ca="1" si="220"/>
        <v>2.2548756470650764</v>
      </c>
      <c r="BX87" s="112">
        <f t="shared" ca="1" si="221"/>
        <v>1.3013595071065915</v>
      </c>
      <c r="BY87" s="112">
        <f t="shared" ca="1" si="222"/>
        <v>4.7965468760478749E-38</v>
      </c>
      <c r="BZ87" s="112">
        <f t="shared" ca="1" si="223"/>
        <v>1.6521372204034888</v>
      </c>
      <c r="CA87" s="112">
        <f t="shared" ca="1" si="224"/>
        <v>-2.7661910495586724E-39</v>
      </c>
      <c r="CB87" s="112">
        <v>1</v>
      </c>
      <c r="CC87" s="112">
        <v>1</v>
      </c>
      <c r="CD87" s="112">
        <v>1</v>
      </c>
      <c r="CE87" s="112">
        <v>1</v>
      </c>
      <c r="CF87" s="112">
        <f t="shared" ca="1" si="225"/>
        <v>2.1742341940601118</v>
      </c>
      <c r="CG87" s="112">
        <f t="shared" ca="1" si="226"/>
        <v>1.3914113980200371</v>
      </c>
      <c r="CH87" s="255"/>
      <c r="CI87" s="150" t="str">
        <f t="shared" ca="1" si="178"/>
        <v>C10M40Y40K0</v>
      </c>
      <c r="CJ87" s="125">
        <f t="shared" ca="1" si="227"/>
        <v>0</v>
      </c>
      <c r="CK87" s="125">
        <f t="shared" ca="1" si="228"/>
        <v>0</v>
      </c>
      <c r="CL87" s="125">
        <f t="shared" ca="1" si="229"/>
        <v>0</v>
      </c>
      <c r="CM87" s="112">
        <f t="shared" ca="1" si="179"/>
        <v>0</v>
      </c>
      <c r="CN87" s="112">
        <f t="shared" ca="1" si="230"/>
        <v>0</v>
      </c>
      <c r="CO87" s="112">
        <f t="shared" ca="1" si="231"/>
        <v>0</v>
      </c>
      <c r="CP87" s="112">
        <f t="shared" ca="1" si="232"/>
        <v>0</v>
      </c>
      <c r="CQ87" s="112" t="str">
        <f t="shared" ca="1" si="233"/>
        <v/>
      </c>
      <c r="CR87" s="112" t="str">
        <f t="shared" ca="1" si="234"/>
        <v/>
      </c>
      <c r="CS87" s="112" t="str">
        <f t="shared" ca="1" si="235"/>
        <v/>
      </c>
      <c r="CT87" s="112" t="str">
        <f t="shared" ca="1" si="236"/>
        <v/>
      </c>
      <c r="CU87" s="112" t="str">
        <f t="shared" ca="1" si="237"/>
        <v/>
      </c>
      <c r="CV87" s="112" t="str">
        <f t="shared" ca="1" si="238"/>
        <v/>
      </c>
      <c r="CW87" s="112" t="str">
        <f t="shared" ca="1" si="162"/>
        <v/>
      </c>
      <c r="CX87" s="112" t="str">
        <f t="shared" ca="1" si="239"/>
        <v/>
      </c>
      <c r="CY87" s="112" t="str">
        <f t="shared" ca="1" si="165"/>
        <v/>
      </c>
      <c r="CZ87" s="112" t="str">
        <f t="shared" ca="1" si="240"/>
        <v/>
      </c>
      <c r="DA87" s="112" t="str">
        <f t="shared" ca="1" si="252"/>
        <v/>
      </c>
      <c r="DB87" s="112" t="str">
        <f t="shared" ca="1" si="260"/>
        <v/>
      </c>
      <c r="DC87" s="112" t="str">
        <f t="shared" ca="1" si="163"/>
        <v/>
      </c>
      <c r="DD87" s="112" t="str">
        <f t="shared" ca="1" si="254"/>
        <v/>
      </c>
      <c r="DE87" s="112" t="str">
        <f t="shared" ca="1" si="164"/>
        <v/>
      </c>
      <c r="DF87" s="112" t="str">
        <f t="shared" ca="1" si="244"/>
        <v/>
      </c>
      <c r="DG87" s="125">
        <f t="shared" ca="1" si="180"/>
        <v>10</v>
      </c>
      <c r="DH87" s="125">
        <f t="shared" ca="1" si="181"/>
        <v>40</v>
      </c>
      <c r="DI87" s="125">
        <f t="shared" ca="1" si="182"/>
        <v>40</v>
      </c>
      <c r="DJ87" s="125" t="str">
        <f t="shared" ca="1" si="183"/>
        <v>-</v>
      </c>
      <c r="DK87" s="112">
        <f t="shared" ca="1" si="184"/>
        <v>0.38302720342409974</v>
      </c>
      <c r="DL87" s="112">
        <f t="shared" ca="1" si="185"/>
        <v>0.33757966740449064</v>
      </c>
      <c r="DM87" s="112">
        <f t="shared" ca="1" si="186"/>
        <v>0.18640276497003166</v>
      </c>
      <c r="DN87" s="112">
        <f t="shared" si="187"/>
        <v>0.38302720342409974</v>
      </c>
      <c r="DO87" s="112">
        <f t="shared" si="188"/>
        <v>0.33757966740449064</v>
      </c>
      <c r="DP87" s="112">
        <f t="shared" si="189"/>
        <v>0.18640276497003166</v>
      </c>
      <c r="DQ87" s="112">
        <f t="shared" ca="1" si="258"/>
        <v>64.77</v>
      </c>
      <c r="DR87" s="112">
        <f t="shared" ca="1" si="255"/>
        <v>19.41</v>
      </c>
      <c r="DS87" s="112">
        <f t="shared" ca="1" si="256"/>
        <v>17.440000000000001</v>
      </c>
      <c r="DT87" s="112">
        <f t="shared" si="241"/>
        <v>64.77</v>
      </c>
      <c r="DU87" s="112">
        <f t="shared" si="242"/>
        <v>19.41</v>
      </c>
      <c r="DV87" s="112">
        <f t="shared" si="243"/>
        <v>17.440000000000001</v>
      </c>
      <c r="DW87" s="260"/>
      <c r="DX87" s="168"/>
      <c r="DY87" s="168"/>
    </row>
    <row r="88" spans="1:135" s="151" customFormat="1" ht="14" customHeight="1">
      <c r="A88" s="167"/>
      <c r="B88" s="153">
        <f t="shared" ca="1" si="166"/>
        <v>10</v>
      </c>
      <c r="C88" s="154">
        <f t="shared" ca="1" si="167"/>
        <v>7.4580000000000002</v>
      </c>
      <c r="D88" s="155">
        <f t="shared" ca="1" si="168"/>
        <v>7.4580000000000002</v>
      </c>
      <c r="E88" s="156" t="str">
        <f t="shared" ca="1" si="169"/>
        <v>-</v>
      </c>
      <c r="F88" s="184"/>
      <c r="G88" s="195"/>
      <c r="H88" s="239">
        <v>79.459999999999994</v>
      </c>
      <c r="I88" s="240">
        <v>0.21</v>
      </c>
      <c r="J88" s="241">
        <v>2.75</v>
      </c>
      <c r="K88" s="181"/>
      <c r="L88" s="204">
        <f t="shared" ca="1" si="170"/>
        <v>79.459999999999994</v>
      </c>
      <c r="M88" s="95">
        <f t="shared" ca="1" si="171"/>
        <v>0.21</v>
      </c>
      <c r="N88" s="205">
        <f t="shared" ca="1" si="172"/>
        <v>2.75</v>
      </c>
      <c r="O88" s="21"/>
      <c r="P88" s="157">
        <f t="shared" ca="1" si="173"/>
        <v>0</v>
      </c>
      <c r="Q88" s="215"/>
      <c r="R88" s="289">
        <f t="shared" ca="1" si="174"/>
        <v>0</v>
      </c>
      <c r="S88" s="290"/>
      <c r="T88" s="148"/>
      <c r="U88" s="291">
        <f t="shared" ca="1" si="175"/>
        <v>0</v>
      </c>
      <c r="V88" s="292"/>
      <c r="W88" s="23"/>
      <c r="X88" s="291">
        <f t="shared" ca="1" si="176"/>
        <v>0</v>
      </c>
      <c r="Y88" s="292"/>
      <c r="Z88" s="94"/>
      <c r="AA88" s="94"/>
      <c r="AB88" s="94"/>
      <c r="AC88" s="94"/>
      <c r="AD88" s="94"/>
      <c r="AE88" s="168"/>
      <c r="AF88" s="168"/>
      <c r="AG88" s="109">
        <f t="shared" ca="1" si="245"/>
        <v>66.64</v>
      </c>
      <c r="AH88" s="109">
        <f t="shared" ca="1" si="246"/>
        <v>-13.27</v>
      </c>
      <c r="AI88" s="109">
        <f t="shared" ca="1" si="247"/>
        <v>11.92</v>
      </c>
      <c r="AJ88" s="109">
        <f t="shared" ca="1" si="190"/>
        <v>17.837581114041221</v>
      </c>
      <c r="AK88" s="113">
        <f t="shared" ca="1" si="191"/>
        <v>138.06770051882245</v>
      </c>
      <c r="AL88" s="159"/>
      <c r="AM88" s="112">
        <f t="shared" si="248"/>
        <v>66.64</v>
      </c>
      <c r="AN88" s="112">
        <f t="shared" si="249"/>
        <v>-13.27</v>
      </c>
      <c r="AO88" s="112">
        <f t="shared" si="250"/>
        <v>11.92</v>
      </c>
      <c r="AP88" s="113">
        <f t="shared" si="192"/>
        <v>17.837581114041221</v>
      </c>
      <c r="AQ88" s="112">
        <f t="shared" si="257"/>
        <v>138.06770051882245</v>
      </c>
      <c r="AR88" s="255"/>
      <c r="AS88" s="112">
        <f t="shared" ca="1" si="193"/>
        <v>0</v>
      </c>
      <c r="AT88" s="112">
        <f t="shared" ca="1" si="194"/>
        <v>0</v>
      </c>
      <c r="AU88" s="112">
        <f t="shared" ca="1" si="195"/>
        <v>0</v>
      </c>
      <c r="AV88" s="112">
        <f t="shared" ca="1" si="196"/>
        <v>0</v>
      </c>
      <c r="AW88" s="112">
        <f t="shared" ca="1" si="259"/>
        <v>0</v>
      </c>
      <c r="AX88" s="112">
        <f t="shared" ca="1" si="177"/>
        <v>0</v>
      </c>
      <c r="AY88" s="112">
        <f t="shared" si="197"/>
        <v>1.2547463555672373</v>
      </c>
      <c r="AZ88" s="112">
        <f t="shared" si="198"/>
        <v>1.5604797083132822</v>
      </c>
      <c r="BA88" s="112">
        <f t="shared" si="199"/>
        <v>1.1849093016505301</v>
      </c>
      <c r="BB88" s="112">
        <f t="shared" si="200"/>
        <v>0.75707578366846651</v>
      </c>
      <c r="BC88" s="112">
        <f t="shared" si="201"/>
        <v>0.99074622977436799</v>
      </c>
      <c r="BD88" s="112">
        <f t="shared" ca="1" si="202"/>
        <v>66.64</v>
      </c>
      <c r="BE88" s="112">
        <f t="shared" si="203"/>
        <v>17.837581114041221</v>
      </c>
      <c r="BF88" s="112">
        <f t="shared" ca="1" si="204"/>
        <v>17.837581114041221</v>
      </c>
      <c r="BG88" s="112">
        <f t="shared" ca="1" si="205"/>
        <v>17.837581114041221</v>
      </c>
      <c r="BH88" s="112">
        <f t="shared" ca="1" si="206"/>
        <v>0.35333735988529408</v>
      </c>
      <c r="BI88" s="112">
        <f t="shared" ca="1" si="207"/>
        <v>-17.95878676567785</v>
      </c>
      <c r="BJ88" s="112">
        <f t="shared" ca="1" si="208"/>
        <v>-17.95878676567785</v>
      </c>
      <c r="BK88" s="112">
        <f t="shared" ca="1" si="209"/>
        <v>21.554684458258393</v>
      </c>
      <c r="BL88" s="112">
        <f t="shared" ca="1" si="210"/>
        <v>21.554684458258393</v>
      </c>
      <c r="BM88" s="112">
        <f t="shared" ca="1" si="211"/>
        <v>21.554684458258393</v>
      </c>
      <c r="BN88" s="112">
        <f t="shared" ca="1" si="261"/>
        <v>146.42610216986762</v>
      </c>
      <c r="BO88" s="112">
        <f t="shared" ca="1" si="212"/>
        <v>146.42610216986762</v>
      </c>
      <c r="BP88" s="112">
        <f t="shared" ca="1" si="213"/>
        <v>146.42610216986762</v>
      </c>
      <c r="BQ88" s="112">
        <f t="shared" ca="1" si="214"/>
        <v>1.3861604397235974</v>
      </c>
      <c r="BR88" s="112">
        <f t="shared" ca="1" si="215"/>
        <v>0</v>
      </c>
      <c r="BS88" s="112">
        <f t="shared" ca="1" si="216"/>
        <v>0</v>
      </c>
      <c r="BT88" s="112">
        <f t="shared" ca="1" si="217"/>
        <v>0</v>
      </c>
      <c r="BU88" s="112">
        <f t="shared" ca="1" si="218"/>
        <v>0</v>
      </c>
      <c r="BV88" s="112">
        <f t="shared" ca="1" si="219"/>
        <v>1.241046267314978</v>
      </c>
      <c r="BW88" s="112">
        <f t="shared" ca="1" si="220"/>
        <v>1.9699608006216276</v>
      </c>
      <c r="BX88" s="112">
        <f t="shared" ca="1" si="221"/>
        <v>1.4481737633014427</v>
      </c>
      <c r="BY88" s="112">
        <f t="shared" ca="1" si="222"/>
        <v>9.7731407133183548E-11</v>
      </c>
      <c r="BZ88" s="112">
        <f t="shared" ca="1" si="223"/>
        <v>1.0228200519065844</v>
      </c>
      <c r="CA88" s="112">
        <f t="shared" ca="1" si="224"/>
        <v>-3.4893195892043718E-12</v>
      </c>
      <c r="CB88" s="112">
        <v>1</v>
      </c>
      <c r="CC88" s="112">
        <v>1</v>
      </c>
      <c r="CD88" s="112">
        <v>1</v>
      </c>
      <c r="CE88" s="112">
        <v>1</v>
      </c>
      <c r="CF88" s="112">
        <f t="shared" ca="1" si="225"/>
        <v>1.8026911501318548</v>
      </c>
      <c r="CG88" s="112">
        <f t="shared" ca="1" si="226"/>
        <v>1.2675637167106184</v>
      </c>
      <c r="CH88" s="255"/>
      <c r="CI88" s="150" t="str">
        <f t="shared" ca="1" si="178"/>
        <v>C40M10Y40K0</v>
      </c>
      <c r="CJ88" s="125">
        <f t="shared" ca="1" si="227"/>
        <v>0</v>
      </c>
      <c r="CK88" s="125">
        <f t="shared" ca="1" si="228"/>
        <v>0</v>
      </c>
      <c r="CL88" s="125">
        <f t="shared" ca="1" si="229"/>
        <v>0</v>
      </c>
      <c r="CM88" s="112">
        <f t="shared" ca="1" si="179"/>
        <v>0</v>
      </c>
      <c r="CN88" s="112">
        <f t="shared" ca="1" si="230"/>
        <v>0</v>
      </c>
      <c r="CO88" s="112">
        <f t="shared" ca="1" si="231"/>
        <v>0</v>
      </c>
      <c r="CP88" s="112">
        <f t="shared" ca="1" si="232"/>
        <v>0</v>
      </c>
      <c r="CQ88" s="112" t="str">
        <f t="shared" ca="1" si="233"/>
        <v/>
      </c>
      <c r="CR88" s="112" t="str">
        <f t="shared" ca="1" si="234"/>
        <v/>
      </c>
      <c r="CS88" s="112" t="str">
        <f t="shared" ca="1" si="235"/>
        <v/>
      </c>
      <c r="CT88" s="112" t="str">
        <f t="shared" ca="1" si="236"/>
        <v/>
      </c>
      <c r="CU88" s="112" t="str">
        <f t="shared" ca="1" si="237"/>
        <v/>
      </c>
      <c r="CV88" s="112" t="str">
        <f t="shared" ca="1" si="238"/>
        <v/>
      </c>
      <c r="CW88" s="112" t="str">
        <f t="shared" ca="1" si="162"/>
        <v/>
      </c>
      <c r="CX88" s="112" t="str">
        <f t="shared" ca="1" si="239"/>
        <v/>
      </c>
      <c r="CY88" s="112" t="str">
        <f t="shared" ca="1" si="165"/>
        <v/>
      </c>
      <c r="CZ88" s="112" t="str">
        <f t="shared" ca="1" si="240"/>
        <v/>
      </c>
      <c r="DA88" s="112" t="str">
        <f t="shared" ca="1" si="252"/>
        <v/>
      </c>
      <c r="DB88" s="112" t="str">
        <f t="shared" ca="1" si="260"/>
        <v/>
      </c>
      <c r="DC88" s="112" t="str">
        <f t="shared" ca="1" si="163"/>
        <v/>
      </c>
      <c r="DD88" s="112" t="str">
        <f t="shared" ca="1" si="254"/>
        <v/>
      </c>
      <c r="DE88" s="112" t="str">
        <f t="shared" ca="1" si="164"/>
        <v/>
      </c>
      <c r="DF88" s="112" t="str">
        <f t="shared" ca="1" si="244"/>
        <v/>
      </c>
      <c r="DG88" s="125">
        <f t="shared" ca="1" si="180"/>
        <v>40</v>
      </c>
      <c r="DH88" s="125">
        <f t="shared" ca="1" si="181"/>
        <v>10</v>
      </c>
      <c r="DI88" s="125">
        <f t="shared" ca="1" si="182"/>
        <v>40</v>
      </c>
      <c r="DJ88" s="125" t="str">
        <f t="shared" ca="1" si="183"/>
        <v>-</v>
      </c>
      <c r="DK88" s="112">
        <f t="shared" ca="1" si="184"/>
        <v>0.31109981592813579</v>
      </c>
      <c r="DL88" s="112">
        <f t="shared" ca="1" si="185"/>
        <v>0.36157380359998365</v>
      </c>
      <c r="DM88" s="112">
        <f t="shared" ca="1" si="186"/>
        <v>0.22949290812895445</v>
      </c>
      <c r="DN88" s="112">
        <f t="shared" si="187"/>
        <v>0.31109981592813579</v>
      </c>
      <c r="DO88" s="112">
        <f t="shared" si="188"/>
        <v>0.36157380359998365</v>
      </c>
      <c r="DP88" s="112">
        <f t="shared" si="189"/>
        <v>0.22949290812895445</v>
      </c>
      <c r="DQ88" s="112">
        <f t="shared" ca="1" si="258"/>
        <v>66.64</v>
      </c>
      <c r="DR88" s="112">
        <f t="shared" ca="1" si="255"/>
        <v>-13.27</v>
      </c>
      <c r="DS88" s="112">
        <f t="shared" ca="1" si="256"/>
        <v>11.92</v>
      </c>
      <c r="DT88" s="112">
        <f t="shared" si="241"/>
        <v>66.64</v>
      </c>
      <c r="DU88" s="112">
        <f t="shared" si="242"/>
        <v>-13.27</v>
      </c>
      <c r="DV88" s="112">
        <f t="shared" si="243"/>
        <v>11.92</v>
      </c>
      <c r="DW88" s="260"/>
      <c r="DX88" s="168"/>
      <c r="DY88" s="168"/>
    </row>
    <row r="89" spans="1:135" s="151" customFormat="1" ht="14" customHeight="1" thickBot="1">
      <c r="A89" s="167"/>
      <c r="B89" s="162">
        <f t="shared" ca="1" si="166"/>
        <v>40</v>
      </c>
      <c r="C89" s="163">
        <f t="shared" ca="1" si="167"/>
        <v>70</v>
      </c>
      <c r="D89" s="164">
        <f t="shared" ca="1" si="168"/>
        <v>40</v>
      </c>
      <c r="E89" s="165" t="str">
        <f t="shared" ca="1" si="169"/>
        <v>-</v>
      </c>
      <c r="F89" s="380" t="s">
        <v>241</v>
      </c>
      <c r="G89" s="381"/>
      <c r="H89" s="242">
        <v>47.71</v>
      </c>
      <c r="I89" s="243">
        <v>21.96</v>
      </c>
      <c r="J89" s="244">
        <v>-0.42</v>
      </c>
      <c r="K89" s="181"/>
      <c r="L89" s="202">
        <f t="shared" ca="1" si="170"/>
        <v>47.71</v>
      </c>
      <c r="M89" s="101">
        <f t="shared" ca="1" si="171"/>
        <v>21.96</v>
      </c>
      <c r="N89" s="203">
        <f t="shared" ca="1" si="172"/>
        <v>-0.42</v>
      </c>
      <c r="O89" s="182"/>
      <c r="P89" s="166">
        <f t="shared" ca="1" si="173"/>
        <v>0</v>
      </c>
      <c r="Q89" s="178"/>
      <c r="R89" s="295">
        <f t="shared" ca="1" si="174"/>
        <v>0</v>
      </c>
      <c r="S89" s="296"/>
      <c r="T89" s="179"/>
      <c r="U89" s="299">
        <f t="shared" ca="1" si="175"/>
        <v>0</v>
      </c>
      <c r="V89" s="300"/>
      <c r="W89" s="180"/>
      <c r="X89" s="299">
        <f t="shared" ca="1" si="176"/>
        <v>0</v>
      </c>
      <c r="Y89" s="300"/>
      <c r="Z89" s="94"/>
      <c r="AA89" s="94"/>
      <c r="AB89" s="94"/>
      <c r="AC89" s="94"/>
      <c r="AD89" s="94"/>
      <c r="AE89" s="168"/>
      <c r="AF89" s="168"/>
      <c r="AG89" s="109">
        <f t="shared" ca="1" si="245"/>
        <v>48.08</v>
      </c>
      <c r="AH89" s="109">
        <f t="shared" ca="1" si="246"/>
        <v>-8.75</v>
      </c>
      <c r="AI89" s="109">
        <f t="shared" ca="1" si="247"/>
        <v>-33.590000000000003</v>
      </c>
      <c r="AJ89" s="109">
        <f t="shared" ca="1" si="190"/>
        <v>34.710957923975535</v>
      </c>
      <c r="AK89" s="113">
        <f t="shared" ca="1" si="191"/>
        <v>255.39926463642385</v>
      </c>
      <c r="AL89" s="159"/>
      <c r="AM89" s="112">
        <f t="shared" si="248"/>
        <v>48.08</v>
      </c>
      <c r="AN89" s="112">
        <f t="shared" si="249"/>
        <v>-8.75</v>
      </c>
      <c r="AO89" s="112">
        <f t="shared" si="250"/>
        <v>-33.590000000000003</v>
      </c>
      <c r="AP89" s="113">
        <f t="shared" si="192"/>
        <v>34.710957923975535</v>
      </c>
      <c r="AQ89" s="112">
        <f t="shared" si="257"/>
        <v>255.39926463642385</v>
      </c>
      <c r="AR89" s="255"/>
      <c r="AS89" s="112">
        <f t="shared" ca="1" si="193"/>
        <v>0</v>
      </c>
      <c r="AT89" s="112">
        <f t="shared" ca="1" si="194"/>
        <v>0</v>
      </c>
      <c r="AU89" s="112">
        <f t="shared" ca="1" si="195"/>
        <v>0</v>
      </c>
      <c r="AV89" s="112">
        <f t="shared" ca="1" si="196"/>
        <v>0</v>
      </c>
      <c r="AW89" s="112">
        <f t="shared" ca="1" si="259"/>
        <v>0</v>
      </c>
      <c r="AX89" s="112">
        <f t="shared" ca="1" si="177"/>
        <v>0</v>
      </c>
      <c r="AY89" s="112">
        <f t="shared" si="197"/>
        <v>1.0657065950020881</v>
      </c>
      <c r="AZ89" s="112">
        <f t="shared" si="198"/>
        <v>2.1603334637738332</v>
      </c>
      <c r="BA89" s="112">
        <f t="shared" si="199"/>
        <v>1.4037484495403814</v>
      </c>
      <c r="BB89" s="112">
        <f t="shared" si="200"/>
        <v>0.64955411276767927</v>
      </c>
      <c r="BC89" s="112">
        <f t="shared" si="201"/>
        <v>0.99934622072806312</v>
      </c>
      <c r="BD89" s="112">
        <f t="shared" ca="1" si="202"/>
        <v>48.08</v>
      </c>
      <c r="BE89" s="112">
        <f t="shared" si="203"/>
        <v>34.710957923975535</v>
      </c>
      <c r="BF89" s="112">
        <f t="shared" ca="1" si="204"/>
        <v>34.710957923975535</v>
      </c>
      <c r="BG89" s="112">
        <f t="shared" ca="1" si="205"/>
        <v>34.710957923975535</v>
      </c>
      <c r="BH89" s="112">
        <f t="shared" ca="1" si="206"/>
        <v>2.3384424282763272E-2</v>
      </c>
      <c r="BI89" s="112">
        <f t="shared" ca="1" si="207"/>
        <v>-8.9546137124741776</v>
      </c>
      <c r="BJ89" s="112">
        <f t="shared" ca="1" si="208"/>
        <v>-8.9546137124741776</v>
      </c>
      <c r="BK89" s="112">
        <f t="shared" ca="1" si="209"/>
        <v>34.763101224425171</v>
      </c>
      <c r="BL89" s="112">
        <f t="shared" ca="1" si="210"/>
        <v>34.763101224425171</v>
      </c>
      <c r="BM89" s="112">
        <f t="shared" ca="1" si="211"/>
        <v>34.763101224425171</v>
      </c>
      <c r="BN89" s="112">
        <f t="shared" ca="1" si="261"/>
        <v>255.07291389204289</v>
      </c>
      <c r="BO89" s="112">
        <f t="shared" ca="1" si="212"/>
        <v>255.07291389204289</v>
      </c>
      <c r="BP89" s="112">
        <f t="shared" ca="1" si="213"/>
        <v>255.07291389204289</v>
      </c>
      <c r="BQ89" s="112">
        <f t="shared" ca="1" si="214"/>
        <v>1.2204084429116875</v>
      </c>
      <c r="BR89" s="112">
        <f t="shared" ca="1" si="215"/>
        <v>0</v>
      </c>
      <c r="BS89" s="112">
        <f t="shared" ca="1" si="216"/>
        <v>0</v>
      </c>
      <c r="BT89" s="112">
        <f t="shared" ca="1" si="217"/>
        <v>0</v>
      </c>
      <c r="BU89" s="112">
        <f t="shared" ca="1" si="218"/>
        <v>0</v>
      </c>
      <c r="BV89" s="112">
        <f t="shared" ca="1" si="219"/>
        <v>1.0113617227383358</v>
      </c>
      <c r="BW89" s="112">
        <f t="shared" ca="1" si="220"/>
        <v>2.5643395550991324</v>
      </c>
      <c r="BX89" s="112">
        <f t="shared" ca="1" si="221"/>
        <v>1.6363777335412315</v>
      </c>
      <c r="BY89" s="112">
        <f t="shared" ca="1" si="222"/>
        <v>15.892628167608228</v>
      </c>
      <c r="BZ89" s="112">
        <f t="shared" ca="1" si="223"/>
        <v>1.9073731467729109</v>
      </c>
      <c r="CA89" s="112">
        <f t="shared" ca="1" si="224"/>
        <v>-1.0046841598850846</v>
      </c>
      <c r="CB89" s="112">
        <v>1</v>
      </c>
      <c r="CC89" s="112">
        <v>1</v>
      </c>
      <c r="CD89" s="112">
        <v>1</v>
      </c>
      <c r="CE89" s="112">
        <v>1</v>
      </c>
      <c r="CF89" s="112">
        <f t="shared" ca="1" si="225"/>
        <v>2.5619931065788988</v>
      </c>
      <c r="CG89" s="112">
        <f t="shared" ca="1" si="226"/>
        <v>1.5206643688596331</v>
      </c>
      <c r="CH89" s="255"/>
      <c r="CI89" s="150" t="str">
        <f t="shared" ca="1" si="178"/>
        <v>C100M40Y0K0</v>
      </c>
      <c r="CJ89" s="125">
        <f t="shared" ca="1" si="227"/>
        <v>0</v>
      </c>
      <c r="CK89" s="125">
        <f t="shared" ca="1" si="228"/>
        <v>0</v>
      </c>
      <c r="CL89" s="125">
        <f t="shared" ca="1" si="229"/>
        <v>0</v>
      </c>
      <c r="CM89" s="112">
        <f t="shared" ca="1" si="179"/>
        <v>0</v>
      </c>
      <c r="CN89" s="112">
        <f t="shared" ca="1" si="230"/>
        <v>0</v>
      </c>
      <c r="CO89" s="112">
        <f t="shared" ca="1" si="231"/>
        <v>0</v>
      </c>
      <c r="CP89" s="112">
        <f t="shared" ca="1" si="232"/>
        <v>0</v>
      </c>
      <c r="CQ89" s="112" t="str">
        <f t="shared" ca="1" si="233"/>
        <v/>
      </c>
      <c r="CR89" s="112" t="str">
        <f t="shared" ca="1" si="234"/>
        <v/>
      </c>
      <c r="CS89" s="112" t="str">
        <f t="shared" ca="1" si="235"/>
        <v/>
      </c>
      <c r="CT89" s="112" t="str">
        <f t="shared" ca="1" si="236"/>
        <v/>
      </c>
      <c r="CU89" s="112" t="str">
        <f t="shared" ca="1" si="237"/>
        <v/>
      </c>
      <c r="CV89" s="112" t="str">
        <f t="shared" ca="1" si="238"/>
        <v/>
      </c>
      <c r="CW89" s="112" t="str">
        <f t="shared" ca="1" si="162"/>
        <v/>
      </c>
      <c r="CX89" s="112" t="str">
        <f t="shared" ca="1" si="239"/>
        <v/>
      </c>
      <c r="CY89" s="112" t="str">
        <f t="shared" ca="1" si="165"/>
        <v/>
      </c>
      <c r="CZ89" s="112" t="str">
        <f t="shared" ca="1" si="240"/>
        <v/>
      </c>
      <c r="DA89" s="112" t="str">
        <f t="shared" ca="1" si="252"/>
        <v/>
      </c>
      <c r="DB89" s="112" t="str">
        <f t="shared" ca="1" si="260"/>
        <v/>
      </c>
      <c r="DC89" s="112" t="str">
        <f t="shared" ca="1" si="163"/>
        <v/>
      </c>
      <c r="DD89" s="112" t="str">
        <f t="shared" ca="1" si="254"/>
        <v/>
      </c>
      <c r="DE89" s="112" t="str">
        <f t="shared" ca="1" si="164"/>
        <v/>
      </c>
      <c r="DF89" s="112" t="str">
        <f t="shared" ca="1" si="244"/>
        <v/>
      </c>
      <c r="DG89" s="125">
        <f t="shared" ca="1" si="180"/>
        <v>100</v>
      </c>
      <c r="DH89" s="125">
        <f t="shared" ca="1" si="181"/>
        <v>40</v>
      </c>
      <c r="DI89" s="125" t="str">
        <f t="shared" ca="1" si="182"/>
        <v>-</v>
      </c>
      <c r="DJ89" s="125" t="str">
        <f t="shared" ca="1" si="183"/>
        <v>-</v>
      </c>
      <c r="DK89" s="112">
        <f t="shared" ca="1" si="184"/>
        <v>0.14757694541694327</v>
      </c>
      <c r="DL89" s="112">
        <f t="shared" ca="1" si="185"/>
        <v>0.16857514486038791</v>
      </c>
      <c r="DM89" s="112">
        <f t="shared" ca="1" si="186"/>
        <v>0.3083592155770164</v>
      </c>
      <c r="DN89" s="112">
        <f t="shared" si="187"/>
        <v>0.14757694541694327</v>
      </c>
      <c r="DO89" s="112">
        <f t="shared" si="188"/>
        <v>0.16857514486038791</v>
      </c>
      <c r="DP89" s="112">
        <f t="shared" si="189"/>
        <v>0.3083592155770164</v>
      </c>
      <c r="DQ89" s="112">
        <f t="shared" ca="1" si="258"/>
        <v>48.08</v>
      </c>
      <c r="DR89" s="112">
        <f t="shared" ca="1" si="255"/>
        <v>-8.75</v>
      </c>
      <c r="DS89" s="112">
        <f t="shared" ca="1" si="256"/>
        <v>-33.590000000000003</v>
      </c>
      <c r="DT89" s="112">
        <f t="shared" si="241"/>
        <v>48.08</v>
      </c>
      <c r="DU89" s="112">
        <f t="shared" si="242"/>
        <v>-8.75</v>
      </c>
      <c r="DV89" s="112">
        <f t="shared" si="243"/>
        <v>-33.590000000000003</v>
      </c>
      <c r="DW89" s="260"/>
      <c r="DX89" s="168"/>
      <c r="DY89" s="168"/>
    </row>
    <row r="90" spans="1:135" s="151" customFormat="1" ht="14" customHeight="1">
      <c r="A90" s="167"/>
      <c r="B90" s="153" t="str">
        <f t="shared" ca="1" si="166"/>
        <v>-</v>
      </c>
      <c r="C90" s="154" t="str">
        <f t="shared" ca="1" si="167"/>
        <v>-</v>
      </c>
      <c r="D90" s="155" t="str">
        <f t="shared" ca="1" si="168"/>
        <v>-</v>
      </c>
      <c r="E90" s="156">
        <f t="shared" ca="1" si="169"/>
        <v>25</v>
      </c>
      <c r="F90" s="186"/>
      <c r="G90" s="195"/>
      <c r="H90" s="245">
        <v>70.63</v>
      </c>
      <c r="I90" s="246">
        <v>-0.09</v>
      </c>
      <c r="J90" s="247">
        <v>1.93</v>
      </c>
      <c r="K90" s="178"/>
      <c r="L90" s="204">
        <f t="shared" ca="1" si="170"/>
        <v>70.63</v>
      </c>
      <c r="M90" s="95">
        <f t="shared" ca="1" si="171"/>
        <v>-0.09</v>
      </c>
      <c r="N90" s="205">
        <f t="shared" ca="1" si="172"/>
        <v>1.93</v>
      </c>
      <c r="O90" s="215"/>
      <c r="P90" s="157">
        <f t="shared" ca="1" si="173"/>
        <v>0</v>
      </c>
      <c r="Q90" s="215"/>
      <c r="R90" s="297">
        <f t="shared" ca="1" si="174"/>
        <v>0</v>
      </c>
      <c r="S90" s="298"/>
      <c r="T90" s="148"/>
      <c r="U90" s="293">
        <f t="shared" ca="1" si="175"/>
        <v>0</v>
      </c>
      <c r="V90" s="294"/>
      <c r="W90" s="23"/>
      <c r="X90" s="293">
        <f t="shared" ca="1" si="176"/>
        <v>0</v>
      </c>
      <c r="Y90" s="294"/>
      <c r="Z90" s="94"/>
      <c r="AA90" s="94"/>
      <c r="AB90" s="94"/>
      <c r="AC90" s="94"/>
      <c r="AD90" s="94"/>
      <c r="AE90" s="168"/>
      <c r="AF90" s="168"/>
      <c r="AG90" s="109">
        <f t="shared" ca="1" si="245"/>
        <v>52.06</v>
      </c>
      <c r="AH90" s="109">
        <f t="shared" ca="1" si="246"/>
        <v>56.18</v>
      </c>
      <c r="AI90" s="109">
        <f t="shared" ca="1" si="247"/>
        <v>12.52</v>
      </c>
      <c r="AJ90" s="109">
        <f t="shared" ca="1" si="190"/>
        <v>57.558168838141469</v>
      </c>
      <c r="AK90" s="113">
        <f t="shared" ca="1" si="191"/>
        <v>12.56335835781884</v>
      </c>
      <c r="AL90" s="159"/>
      <c r="AM90" s="112">
        <f t="shared" si="248"/>
        <v>52.06</v>
      </c>
      <c r="AN90" s="112">
        <f t="shared" si="249"/>
        <v>56.18</v>
      </c>
      <c r="AO90" s="112">
        <f t="shared" si="250"/>
        <v>12.52</v>
      </c>
      <c r="AP90" s="113">
        <f t="shared" si="192"/>
        <v>57.558168838141469</v>
      </c>
      <c r="AQ90" s="112">
        <f t="shared" si="257"/>
        <v>12.56335835781884</v>
      </c>
      <c r="AR90" s="255"/>
      <c r="AS90" s="112">
        <f t="shared" ca="1" si="193"/>
        <v>0</v>
      </c>
      <c r="AT90" s="112">
        <f t="shared" ca="1" si="194"/>
        <v>0</v>
      </c>
      <c r="AU90" s="112">
        <f t="shared" ca="1" si="195"/>
        <v>0</v>
      </c>
      <c r="AV90" s="112">
        <f t="shared" ca="1" si="196"/>
        <v>0</v>
      </c>
      <c r="AW90" s="112">
        <f t="shared" ca="1" si="259"/>
        <v>0</v>
      </c>
      <c r="AX90" s="112">
        <f t="shared" ca="1" si="177"/>
        <v>0</v>
      </c>
      <c r="AY90" s="112">
        <f t="shared" si="197"/>
        <v>1.1116806914942683</v>
      </c>
      <c r="AZ90" s="112">
        <f t="shared" si="198"/>
        <v>2.7316066270991679</v>
      </c>
      <c r="BA90" s="112">
        <f t="shared" si="199"/>
        <v>1.7207532805554924</v>
      </c>
      <c r="BB90" s="112">
        <f t="shared" si="200"/>
        <v>0.629909801851122</v>
      </c>
      <c r="BC90" s="112">
        <f t="shared" si="201"/>
        <v>0.99991345552482902</v>
      </c>
      <c r="BD90" s="112">
        <f t="shared" ca="1" si="202"/>
        <v>52.06</v>
      </c>
      <c r="BE90" s="112">
        <f t="shared" si="203"/>
        <v>57.558168838141469</v>
      </c>
      <c r="BF90" s="112">
        <f t="shared" ca="1" si="204"/>
        <v>57.558168838141469</v>
      </c>
      <c r="BG90" s="112">
        <f t="shared" ca="1" si="205"/>
        <v>57.558168838141469</v>
      </c>
      <c r="BH90" s="112">
        <f t="shared" ca="1" si="206"/>
        <v>7.2748267893318896E-4</v>
      </c>
      <c r="BI90" s="112">
        <f t="shared" ca="1" si="207"/>
        <v>56.220869976902463</v>
      </c>
      <c r="BJ90" s="112">
        <f t="shared" ca="1" si="208"/>
        <v>56.220869976902463</v>
      </c>
      <c r="BK90" s="112">
        <f t="shared" ca="1" si="209"/>
        <v>57.598060913191972</v>
      </c>
      <c r="BL90" s="112">
        <f t="shared" ca="1" si="210"/>
        <v>57.598060913191972</v>
      </c>
      <c r="BM90" s="112">
        <f t="shared" ca="1" si="211"/>
        <v>57.598060913191972</v>
      </c>
      <c r="BN90" s="112">
        <f t="shared" ca="1" si="261"/>
        <v>12.554515013725098</v>
      </c>
      <c r="BO90" s="112">
        <f t="shared" ca="1" si="212"/>
        <v>12.554515013725098</v>
      </c>
      <c r="BP90" s="112">
        <f t="shared" ca="1" si="213"/>
        <v>12.554515013725098</v>
      </c>
      <c r="BQ90" s="112">
        <f t="shared" ca="1" si="214"/>
        <v>1.0915862941789649</v>
      </c>
      <c r="BR90" s="112">
        <f t="shared" ca="1" si="215"/>
        <v>0</v>
      </c>
      <c r="BS90" s="112">
        <f t="shared" ca="1" si="216"/>
        <v>0</v>
      </c>
      <c r="BT90" s="112">
        <f t="shared" ca="1" si="217"/>
        <v>0</v>
      </c>
      <c r="BU90" s="112">
        <f t="shared" ca="1" si="218"/>
        <v>0</v>
      </c>
      <c r="BV90" s="112">
        <f t="shared" ca="1" si="219"/>
        <v>1.0129278750180495</v>
      </c>
      <c r="BW90" s="112">
        <f t="shared" ca="1" si="220"/>
        <v>3.5919127410936387</v>
      </c>
      <c r="BX90" s="112">
        <f t="shared" ca="1" si="221"/>
        <v>1.9430988079618827</v>
      </c>
      <c r="BY90" s="112">
        <f t="shared" ca="1" si="222"/>
        <v>4.1308558325902818E-47</v>
      </c>
      <c r="BZ90" s="112">
        <f t="shared" ca="1" si="223"/>
        <v>1.9971041172477773</v>
      </c>
      <c r="CA90" s="112">
        <f t="shared" ca="1" si="224"/>
        <v>-2.8797057169418159E-48</v>
      </c>
      <c r="CB90" s="112">
        <v>1</v>
      </c>
      <c r="CC90" s="112">
        <v>1</v>
      </c>
      <c r="CD90" s="112">
        <v>1</v>
      </c>
      <c r="CE90" s="112">
        <v>1</v>
      </c>
      <c r="CF90" s="112">
        <f t="shared" ca="1" si="225"/>
        <v>3.590117597716366</v>
      </c>
      <c r="CG90" s="112">
        <f t="shared" ca="1" si="226"/>
        <v>1.863372532572122</v>
      </c>
      <c r="CH90" s="255"/>
      <c r="CI90" s="150" t="str">
        <f t="shared" ca="1" si="178"/>
        <v>C0M100Y40K0</v>
      </c>
      <c r="CJ90" s="125">
        <f t="shared" ca="1" si="227"/>
        <v>0</v>
      </c>
      <c r="CK90" s="125">
        <f t="shared" ca="1" si="228"/>
        <v>0</v>
      </c>
      <c r="CL90" s="125">
        <f t="shared" ca="1" si="229"/>
        <v>0</v>
      </c>
      <c r="CM90" s="112">
        <f t="shared" ca="1" si="179"/>
        <v>0</v>
      </c>
      <c r="CN90" s="112">
        <f t="shared" ca="1" si="230"/>
        <v>0</v>
      </c>
      <c r="CO90" s="112">
        <f t="shared" ca="1" si="231"/>
        <v>0</v>
      </c>
      <c r="CP90" s="112">
        <f t="shared" ca="1" si="232"/>
        <v>0</v>
      </c>
      <c r="CQ90" s="112" t="str">
        <f t="shared" ca="1" si="233"/>
        <v/>
      </c>
      <c r="CR90" s="112" t="str">
        <f t="shared" ca="1" si="234"/>
        <v/>
      </c>
      <c r="CS90" s="112" t="str">
        <f t="shared" ca="1" si="235"/>
        <v/>
      </c>
      <c r="CT90" s="112" t="str">
        <f t="shared" ca="1" si="236"/>
        <v/>
      </c>
      <c r="CU90" s="112" t="str">
        <f t="shared" ca="1" si="237"/>
        <v/>
      </c>
      <c r="CV90" s="112" t="str">
        <f t="shared" ca="1" si="238"/>
        <v/>
      </c>
      <c r="CW90" s="112" t="str">
        <f t="shared" ca="1" si="162"/>
        <v/>
      </c>
      <c r="CX90" s="112" t="str">
        <f t="shared" ca="1" si="239"/>
        <v/>
      </c>
      <c r="CY90" s="112" t="str">
        <f t="shared" ca="1" si="165"/>
        <v/>
      </c>
      <c r="CZ90" s="112" t="str">
        <f t="shared" ca="1" si="240"/>
        <v/>
      </c>
      <c r="DA90" s="112" t="str">
        <f t="shared" ca="1" si="252"/>
        <v/>
      </c>
      <c r="DB90" s="112" t="str">
        <f t="shared" ca="1" si="260"/>
        <v/>
      </c>
      <c r="DC90" s="112" t="str">
        <f t="shared" ca="1" si="163"/>
        <v/>
      </c>
      <c r="DD90" s="112" t="str">
        <f t="shared" ca="1" si="254"/>
        <v/>
      </c>
      <c r="DE90" s="112" t="str">
        <f t="shared" ca="1" si="164"/>
        <v/>
      </c>
      <c r="DF90" s="112" t="str">
        <f t="shared" ca="1" si="244"/>
        <v/>
      </c>
      <c r="DG90" s="125" t="str">
        <f t="shared" ca="1" si="180"/>
        <v>-</v>
      </c>
      <c r="DH90" s="125">
        <f t="shared" ca="1" si="181"/>
        <v>100</v>
      </c>
      <c r="DI90" s="125">
        <f t="shared" ca="1" si="182"/>
        <v>40</v>
      </c>
      <c r="DJ90" s="125" t="str">
        <f t="shared" ca="1" si="183"/>
        <v>-</v>
      </c>
      <c r="DK90" s="112">
        <f t="shared" ca="1" si="184"/>
        <v>0.3294241786008939</v>
      </c>
      <c r="DL90" s="112">
        <f t="shared" ca="1" si="185"/>
        <v>0.20197697643917342</v>
      </c>
      <c r="DM90" s="112">
        <f t="shared" ca="1" si="186"/>
        <v>0.11876918788565412</v>
      </c>
      <c r="DN90" s="112">
        <f t="shared" si="187"/>
        <v>0.3294241786008939</v>
      </c>
      <c r="DO90" s="112">
        <f t="shared" si="188"/>
        <v>0.20197697643917342</v>
      </c>
      <c r="DP90" s="112">
        <f t="shared" si="189"/>
        <v>0.11876918788565412</v>
      </c>
      <c r="DQ90" s="112">
        <f t="shared" ca="1" si="258"/>
        <v>52.06</v>
      </c>
      <c r="DR90" s="112">
        <f t="shared" ca="1" si="255"/>
        <v>56.18</v>
      </c>
      <c r="DS90" s="112">
        <f t="shared" ca="1" si="256"/>
        <v>12.52</v>
      </c>
      <c r="DT90" s="112">
        <f t="shared" si="241"/>
        <v>52.06</v>
      </c>
      <c r="DU90" s="112">
        <f t="shared" si="242"/>
        <v>56.18</v>
      </c>
      <c r="DV90" s="112">
        <f t="shared" si="243"/>
        <v>12.52</v>
      </c>
      <c r="DW90" s="260"/>
      <c r="DX90" s="168"/>
      <c r="DY90" s="168"/>
    </row>
    <row r="91" spans="1:135" s="151" customFormat="1" ht="14" customHeight="1">
      <c r="A91" s="167"/>
      <c r="B91" s="153">
        <f t="shared" ca="1" si="166"/>
        <v>25</v>
      </c>
      <c r="C91" s="154">
        <f t="shared" ca="1" si="167"/>
        <v>18.878</v>
      </c>
      <c r="D91" s="155">
        <f t="shared" ca="1" si="168"/>
        <v>18.878</v>
      </c>
      <c r="E91" s="156" t="str">
        <f t="shared" ca="1" si="169"/>
        <v>-</v>
      </c>
      <c r="F91" s="186"/>
      <c r="G91" s="195"/>
      <c r="H91" s="248">
        <v>68.97</v>
      </c>
      <c r="I91" s="249">
        <v>0.09</v>
      </c>
      <c r="J91" s="250">
        <v>2.2000000000000002</v>
      </c>
      <c r="K91" s="178"/>
      <c r="L91" s="204">
        <f t="shared" ca="1" si="170"/>
        <v>68.97</v>
      </c>
      <c r="M91" s="95">
        <f t="shared" ca="1" si="171"/>
        <v>0.09</v>
      </c>
      <c r="N91" s="205">
        <f t="shared" ca="1" si="172"/>
        <v>2.2000000000000002</v>
      </c>
      <c r="O91" s="215"/>
      <c r="P91" s="157">
        <f t="shared" ca="1" si="173"/>
        <v>0</v>
      </c>
      <c r="Q91" s="215"/>
      <c r="R91" s="289">
        <f t="shared" ca="1" si="174"/>
        <v>0</v>
      </c>
      <c r="S91" s="290"/>
      <c r="T91" s="148"/>
      <c r="U91" s="291">
        <f t="shared" ca="1" si="175"/>
        <v>0</v>
      </c>
      <c r="V91" s="292"/>
      <c r="W91" s="23"/>
      <c r="X91" s="291">
        <f t="shared" ca="1" si="176"/>
        <v>0</v>
      </c>
      <c r="Y91" s="292"/>
      <c r="Z91" s="94"/>
      <c r="AA91" s="94"/>
      <c r="AB91" s="94"/>
      <c r="AC91" s="94"/>
      <c r="AD91" s="94"/>
      <c r="AE91" s="168"/>
      <c r="AF91" s="168"/>
      <c r="AG91" s="109">
        <f t="shared" ca="1" si="245"/>
        <v>68.14</v>
      </c>
      <c r="AH91" s="109">
        <f t="shared" ca="1" si="246"/>
        <v>-20.059999999999999</v>
      </c>
      <c r="AI91" s="109">
        <f t="shared" ca="1" si="247"/>
        <v>46.8</v>
      </c>
      <c r="AJ91" s="109">
        <f t="shared" ca="1" si="190"/>
        <v>50.918008602065342</v>
      </c>
      <c r="AK91" s="113">
        <f t="shared" ca="1" si="191"/>
        <v>113.20154557989515</v>
      </c>
      <c r="AL91" s="159"/>
      <c r="AM91" s="112">
        <f t="shared" si="248"/>
        <v>68.14</v>
      </c>
      <c r="AN91" s="112">
        <f t="shared" si="249"/>
        <v>-20.059999999999999</v>
      </c>
      <c r="AO91" s="112">
        <f t="shared" si="250"/>
        <v>46.8</v>
      </c>
      <c r="AP91" s="113">
        <f t="shared" si="192"/>
        <v>50.918008602065342</v>
      </c>
      <c r="AQ91" s="112">
        <f t="shared" si="257"/>
        <v>113.20154557989515</v>
      </c>
      <c r="AR91" s="255"/>
      <c r="AS91" s="112">
        <f t="shared" ca="1" si="193"/>
        <v>0</v>
      </c>
      <c r="AT91" s="112">
        <f t="shared" ca="1" si="194"/>
        <v>0</v>
      </c>
      <c r="AU91" s="112">
        <f t="shared" ca="1" si="195"/>
        <v>0</v>
      </c>
      <c r="AV91" s="112">
        <f t="shared" ca="1" si="196"/>
        <v>0</v>
      </c>
      <c r="AW91" s="112">
        <f t="shared" ca="1" si="259"/>
        <v>0</v>
      </c>
      <c r="AX91" s="112">
        <f t="shared" ca="1" si="177"/>
        <v>0</v>
      </c>
      <c r="AY91" s="112">
        <f t="shared" si="197"/>
        <v>1.2675685565388566</v>
      </c>
      <c r="AZ91" s="112">
        <f t="shared" si="198"/>
        <v>2.5867213270581049</v>
      </c>
      <c r="BA91" s="112">
        <f t="shared" si="199"/>
        <v>1.8107182729251947</v>
      </c>
      <c r="BB91" s="112">
        <f t="shared" si="200"/>
        <v>0.69996276302063221</v>
      </c>
      <c r="BC91" s="112">
        <f t="shared" si="201"/>
        <v>0.99985869878123568</v>
      </c>
      <c r="BD91" s="112">
        <f t="shared" ca="1" si="202"/>
        <v>68.14</v>
      </c>
      <c r="BE91" s="112">
        <f t="shared" si="203"/>
        <v>50.918008602065342</v>
      </c>
      <c r="BF91" s="112">
        <f t="shared" ca="1" si="204"/>
        <v>50.918008602065342</v>
      </c>
      <c r="BG91" s="112">
        <f t="shared" ca="1" si="205"/>
        <v>50.918008602065342</v>
      </c>
      <c r="BH91" s="112">
        <f t="shared" ca="1" si="206"/>
        <v>1.7107511075493687E-3</v>
      </c>
      <c r="BI91" s="112">
        <f t="shared" ca="1" si="207"/>
        <v>-20.094317667217439</v>
      </c>
      <c r="BJ91" s="112">
        <f t="shared" ca="1" si="208"/>
        <v>-20.094317667217439</v>
      </c>
      <c r="BK91" s="112">
        <f t="shared" ca="1" si="209"/>
        <v>50.931538387437769</v>
      </c>
      <c r="BL91" s="112">
        <f t="shared" ca="1" si="210"/>
        <v>50.931538387437769</v>
      </c>
      <c r="BM91" s="112">
        <f t="shared" ca="1" si="211"/>
        <v>50.931538387437769</v>
      </c>
      <c r="BN91" s="112">
        <f t="shared" ca="1" si="261"/>
        <v>113.23702921196703</v>
      </c>
      <c r="BO91" s="112">
        <f t="shared" ca="1" si="212"/>
        <v>113.23702921196703</v>
      </c>
      <c r="BP91" s="112">
        <f t="shared" ca="1" si="213"/>
        <v>113.23702921196703</v>
      </c>
      <c r="BQ91" s="112">
        <f t="shared" ca="1" si="214"/>
        <v>0.95150128217581165</v>
      </c>
      <c r="BR91" s="112">
        <f t="shared" ca="1" si="215"/>
        <v>0</v>
      </c>
      <c r="BS91" s="112">
        <f t="shared" ca="1" si="216"/>
        <v>0</v>
      </c>
      <c r="BT91" s="112">
        <f t="shared" ca="1" si="217"/>
        <v>0</v>
      </c>
      <c r="BU91" s="112">
        <f t="shared" ca="1" si="218"/>
        <v>0</v>
      </c>
      <c r="BV91" s="112">
        <f t="shared" ca="1" si="219"/>
        <v>1.2641897909167434</v>
      </c>
      <c r="BW91" s="112">
        <f t="shared" ca="1" si="220"/>
        <v>3.2919192274346996</v>
      </c>
      <c r="BX91" s="112">
        <f t="shared" ca="1" si="221"/>
        <v>1.7269213611825041</v>
      </c>
      <c r="BY91" s="112">
        <f t="shared" ca="1" si="222"/>
        <v>1.9690082970525325E-17</v>
      </c>
      <c r="BZ91" s="112">
        <f t="shared" ca="1" si="223"/>
        <v>1.9931696451153758</v>
      </c>
      <c r="CA91" s="112">
        <f t="shared" ca="1" si="224"/>
        <v>-1.3699325158040067E-18</v>
      </c>
      <c r="CB91" s="112">
        <v>1</v>
      </c>
      <c r="CC91" s="112">
        <v>1</v>
      </c>
      <c r="CD91" s="112">
        <v>1</v>
      </c>
      <c r="CE91" s="112">
        <v>1</v>
      </c>
      <c r="CF91" s="112">
        <f t="shared" ca="1" si="225"/>
        <v>3.2913103870929401</v>
      </c>
      <c r="CG91" s="112">
        <f t="shared" ca="1" si="226"/>
        <v>1.7637701290309802</v>
      </c>
      <c r="CH91" s="255"/>
      <c r="CI91" s="150" t="str">
        <f t="shared" ca="1" si="178"/>
        <v>C40M0Y100K0</v>
      </c>
      <c r="CJ91" s="125">
        <f t="shared" ca="1" si="227"/>
        <v>0</v>
      </c>
      <c r="CK91" s="125">
        <f t="shared" ca="1" si="228"/>
        <v>0</v>
      </c>
      <c r="CL91" s="125">
        <f t="shared" ca="1" si="229"/>
        <v>0</v>
      </c>
      <c r="CM91" s="112">
        <f t="shared" ca="1" si="179"/>
        <v>0</v>
      </c>
      <c r="CN91" s="112">
        <f t="shared" ca="1" si="230"/>
        <v>0</v>
      </c>
      <c r="CO91" s="112">
        <f t="shared" ca="1" si="231"/>
        <v>0</v>
      </c>
      <c r="CP91" s="112">
        <f t="shared" ca="1" si="232"/>
        <v>0</v>
      </c>
      <c r="CQ91" s="112" t="str">
        <f t="shared" ca="1" si="233"/>
        <v/>
      </c>
      <c r="CR91" s="112" t="str">
        <f t="shared" ca="1" si="234"/>
        <v/>
      </c>
      <c r="CS91" s="112" t="str">
        <f t="shared" ca="1" si="235"/>
        <v/>
      </c>
      <c r="CT91" s="112" t="str">
        <f t="shared" ca="1" si="236"/>
        <v/>
      </c>
      <c r="CU91" s="112" t="str">
        <f t="shared" ca="1" si="237"/>
        <v/>
      </c>
      <c r="CV91" s="112" t="str">
        <f t="shared" ca="1" si="238"/>
        <v/>
      </c>
      <c r="CW91" s="112" t="str">
        <f t="shared" ca="1" si="162"/>
        <v/>
      </c>
      <c r="CX91" s="112" t="str">
        <f t="shared" ca="1" si="239"/>
        <v/>
      </c>
      <c r="CY91" s="112" t="str">
        <f t="shared" ca="1" si="165"/>
        <v/>
      </c>
      <c r="CZ91" s="112" t="str">
        <f t="shared" ca="1" si="240"/>
        <v/>
      </c>
      <c r="DA91" s="112" t="str">
        <f t="shared" ca="1" si="252"/>
        <v/>
      </c>
      <c r="DB91" s="112" t="str">
        <f t="shared" ca="1" si="260"/>
        <v/>
      </c>
      <c r="DC91" s="112" t="str">
        <f t="shared" ca="1" si="163"/>
        <v/>
      </c>
      <c r="DD91" s="112" t="str">
        <f t="shared" ca="1" si="254"/>
        <v/>
      </c>
      <c r="DE91" s="112" t="str">
        <f t="shared" ca="1" si="164"/>
        <v/>
      </c>
      <c r="DF91" s="112" t="str">
        <f t="shared" ca="1" si="244"/>
        <v/>
      </c>
      <c r="DG91" s="125">
        <f t="shared" ca="1" si="180"/>
        <v>40</v>
      </c>
      <c r="DH91" s="125" t="str">
        <f t="shared" ca="1" si="181"/>
        <v>-</v>
      </c>
      <c r="DI91" s="125">
        <f t="shared" ca="1" si="182"/>
        <v>100</v>
      </c>
      <c r="DJ91" s="125" t="str">
        <f t="shared" ca="1" si="183"/>
        <v>-</v>
      </c>
      <c r="DK91" s="112">
        <f t="shared" ca="1" si="184"/>
        <v>0.31021757453127041</v>
      </c>
      <c r="DL91" s="112">
        <f t="shared" ca="1" si="185"/>
        <v>0.38162213366169173</v>
      </c>
      <c r="DM91" s="112">
        <f t="shared" ca="1" si="186"/>
        <v>9.7849918736208949E-2</v>
      </c>
      <c r="DN91" s="112">
        <f t="shared" si="187"/>
        <v>0.31021757453127041</v>
      </c>
      <c r="DO91" s="112">
        <f t="shared" si="188"/>
        <v>0.38162213366169173</v>
      </c>
      <c r="DP91" s="112">
        <f t="shared" si="189"/>
        <v>9.7849918736208949E-2</v>
      </c>
      <c r="DQ91" s="112">
        <f t="shared" ca="1" si="258"/>
        <v>68.14</v>
      </c>
      <c r="DR91" s="112">
        <f t="shared" ca="1" si="255"/>
        <v>-20.059999999999999</v>
      </c>
      <c r="DS91" s="112">
        <f t="shared" ca="1" si="256"/>
        <v>46.8</v>
      </c>
      <c r="DT91" s="112">
        <f t="shared" si="241"/>
        <v>68.14</v>
      </c>
      <c r="DU91" s="112">
        <f t="shared" si="242"/>
        <v>-20.059999999999999</v>
      </c>
      <c r="DV91" s="112">
        <f t="shared" si="243"/>
        <v>46.8</v>
      </c>
      <c r="DW91" s="260"/>
      <c r="DX91" s="168"/>
      <c r="DY91" s="168"/>
    </row>
    <row r="92" spans="1:135" s="151" customFormat="1" ht="14" customHeight="1">
      <c r="A92" s="167"/>
      <c r="B92" s="153">
        <f t="shared" ca="1" si="166"/>
        <v>40</v>
      </c>
      <c r="C92" s="154">
        <f t="shared" ca="1" si="167"/>
        <v>70</v>
      </c>
      <c r="D92" s="155">
        <f t="shared" ca="1" si="168"/>
        <v>70</v>
      </c>
      <c r="E92" s="156" t="str">
        <f t="shared" ca="1" si="169"/>
        <v>-</v>
      </c>
      <c r="F92" s="187"/>
      <c r="G92" s="188"/>
      <c r="H92" s="248">
        <v>46.65</v>
      </c>
      <c r="I92" s="249">
        <v>20</v>
      </c>
      <c r="J92" s="250">
        <v>11.62</v>
      </c>
      <c r="K92" s="191"/>
      <c r="L92" s="204">
        <f t="shared" ca="1" si="170"/>
        <v>46.65</v>
      </c>
      <c r="M92" s="95">
        <f t="shared" ca="1" si="171"/>
        <v>20</v>
      </c>
      <c r="N92" s="205">
        <f t="shared" ca="1" si="172"/>
        <v>11.62</v>
      </c>
      <c r="O92" s="215"/>
      <c r="P92" s="157">
        <f t="shared" ca="1" si="173"/>
        <v>0</v>
      </c>
      <c r="Q92" s="215"/>
      <c r="R92" s="289">
        <f t="shared" ca="1" si="174"/>
        <v>0</v>
      </c>
      <c r="S92" s="290"/>
      <c r="T92" s="148"/>
      <c r="U92" s="291">
        <f t="shared" ca="1" si="175"/>
        <v>0</v>
      </c>
      <c r="V92" s="292"/>
      <c r="W92" s="23"/>
      <c r="X92" s="291">
        <f t="shared" ca="1" si="176"/>
        <v>0</v>
      </c>
      <c r="Y92" s="292"/>
      <c r="Z92" s="94"/>
      <c r="AA92" s="94"/>
      <c r="AB92" s="94"/>
      <c r="AC92" s="94"/>
      <c r="AD92" s="94"/>
      <c r="AE92" s="168"/>
      <c r="AF92" s="168"/>
      <c r="AG92" s="109">
        <f t="shared" ca="1" si="245"/>
        <v>44.95</v>
      </c>
      <c r="AH92" s="109">
        <f t="shared" ca="1" si="246"/>
        <v>37.96</v>
      </c>
      <c r="AI92" s="109">
        <f t="shared" ca="1" si="247"/>
        <v>-17.510000000000002</v>
      </c>
      <c r="AJ92" s="109">
        <f t="shared" ca="1" si="190"/>
        <v>41.803847909014308</v>
      </c>
      <c r="AK92" s="113">
        <f t="shared" ca="1" si="191"/>
        <v>335.23730379782626</v>
      </c>
      <c r="AL92" s="159"/>
      <c r="AM92" s="112">
        <f t="shared" si="248"/>
        <v>44.95</v>
      </c>
      <c r="AN92" s="112">
        <f t="shared" si="249"/>
        <v>37.96</v>
      </c>
      <c r="AO92" s="112">
        <f t="shared" si="250"/>
        <v>-17.510000000000002</v>
      </c>
      <c r="AP92" s="113">
        <f t="shared" si="192"/>
        <v>41.803847909014308</v>
      </c>
      <c r="AQ92" s="112">
        <f t="shared" si="257"/>
        <v>335.23730379782626</v>
      </c>
      <c r="AR92" s="255"/>
      <c r="AS92" s="112">
        <f t="shared" ca="1" si="193"/>
        <v>0</v>
      </c>
      <c r="AT92" s="112">
        <f t="shared" ca="1" si="194"/>
        <v>0</v>
      </c>
      <c r="AU92" s="112">
        <f t="shared" ca="1" si="195"/>
        <v>0</v>
      </c>
      <c r="AV92" s="112">
        <f t="shared" ca="1" si="196"/>
        <v>0</v>
      </c>
      <c r="AW92" s="112">
        <f t="shared" ca="1" si="259"/>
        <v>0</v>
      </c>
      <c r="AX92" s="112">
        <f t="shared" ca="1" si="177"/>
        <v>0</v>
      </c>
      <c r="AY92" s="112">
        <f t="shared" si="197"/>
        <v>1.0270210929996222</v>
      </c>
      <c r="AZ92" s="112">
        <f t="shared" si="198"/>
        <v>2.3613349018498409</v>
      </c>
      <c r="BA92" s="112">
        <f t="shared" si="199"/>
        <v>1.7008960507495059</v>
      </c>
      <c r="BB92" s="112">
        <f t="shared" si="200"/>
        <v>0.72022424199096169</v>
      </c>
      <c r="BC92" s="112">
        <f t="shared" si="201"/>
        <v>0.99968907475672864</v>
      </c>
      <c r="BD92" s="112">
        <f t="shared" ca="1" si="202"/>
        <v>44.95</v>
      </c>
      <c r="BE92" s="112">
        <f t="shared" si="203"/>
        <v>41.803847909014308</v>
      </c>
      <c r="BF92" s="112">
        <f t="shared" ca="1" si="204"/>
        <v>41.803847909014308</v>
      </c>
      <c r="BG92" s="112">
        <f t="shared" ca="1" si="205"/>
        <v>41.803847909014308</v>
      </c>
      <c r="BH92" s="112">
        <f t="shared" ca="1" si="206"/>
        <v>6.7020147061324642E-3</v>
      </c>
      <c r="BI92" s="112">
        <f t="shared" ca="1" si="207"/>
        <v>38.214408478244792</v>
      </c>
      <c r="BJ92" s="112">
        <f t="shared" ca="1" si="208"/>
        <v>38.214408478244792</v>
      </c>
      <c r="BK92" s="112">
        <f t="shared" ca="1" si="209"/>
        <v>42.034998695636325</v>
      </c>
      <c r="BL92" s="112">
        <f t="shared" ca="1" si="210"/>
        <v>42.034998695636325</v>
      </c>
      <c r="BM92" s="112">
        <f t="shared" ca="1" si="211"/>
        <v>42.034998695636325</v>
      </c>
      <c r="BN92" s="112">
        <f t="shared" ca="1" si="261"/>
        <v>335.38255292341842</v>
      </c>
      <c r="BO92" s="112">
        <f t="shared" ca="1" si="212"/>
        <v>335.38255292341842</v>
      </c>
      <c r="BP92" s="112">
        <f t="shared" ca="1" si="213"/>
        <v>335.38255292341842</v>
      </c>
      <c r="BQ92" s="112">
        <f t="shared" ca="1" si="214"/>
        <v>1.3685442569121158</v>
      </c>
      <c r="BR92" s="112">
        <f t="shared" ca="1" si="215"/>
        <v>0</v>
      </c>
      <c r="BS92" s="112">
        <f t="shared" ca="1" si="216"/>
        <v>0</v>
      </c>
      <c r="BT92" s="112">
        <f t="shared" ca="1" si="217"/>
        <v>0</v>
      </c>
      <c r="BU92" s="112">
        <f t="shared" ca="1" si="218"/>
        <v>0</v>
      </c>
      <c r="BV92" s="112">
        <f t="shared" ca="1" si="219"/>
        <v>1.056709574160515</v>
      </c>
      <c r="BW92" s="112">
        <f t="shared" ca="1" si="220"/>
        <v>2.8915749413036345</v>
      </c>
      <c r="BX92" s="112">
        <f t="shared" ca="1" si="221"/>
        <v>1.8629013408133206</v>
      </c>
      <c r="BY92" s="112">
        <f t="shared" ca="1" si="222"/>
        <v>8.7818162774904507E-2</v>
      </c>
      <c r="BZ92" s="112">
        <f t="shared" ca="1" si="223"/>
        <v>1.97418743202048</v>
      </c>
      <c r="CA92" s="112">
        <f t="shared" ca="1" si="224"/>
        <v>-6.051728179803012E-3</v>
      </c>
      <c r="CB92" s="112">
        <v>1</v>
      </c>
      <c r="CC92" s="112">
        <v>1</v>
      </c>
      <c r="CD92" s="112">
        <v>1</v>
      </c>
      <c r="CE92" s="112">
        <v>1</v>
      </c>
      <c r="CF92" s="112">
        <f t="shared" ca="1" si="225"/>
        <v>2.8811731559056435</v>
      </c>
      <c r="CG92" s="112">
        <f t="shared" ca="1" si="226"/>
        <v>1.6270577186352146</v>
      </c>
      <c r="CH92" s="255"/>
      <c r="CI92" s="150" t="str">
        <f t="shared" ca="1" si="178"/>
        <v>C40M100Y0K0</v>
      </c>
      <c r="CJ92" s="125">
        <f t="shared" ca="1" si="227"/>
        <v>0</v>
      </c>
      <c r="CK92" s="125">
        <f t="shared" ca="1" si="228"/>
        <v>0</v>
      </c>
      <c r="CL92" s="125">
        <f t="shared" ca="1" si="229"/>
        <v>0</v>
      </c>
      <c r="CM92" s="112">
        <f t="shared" ca="1" si="179"/>
        <v>0</v>
      </c>
      <c r="CN92" s="112">
        <f t="shared" ca="1" si="230"/>
        <v>0</v>
      </c>
      <c r="CO92" s="112">
        <f t="shared" ca="1" si="231"/>
        <v>0</v>
      </c>
      <c r="CP92" s="112">
        <f t="shared" ca="1" si="232"/>
        <v>0</v>
      </c>
      <c r="CQ92" s="112" t="str">
        <f t="shared" ca="1" si="233"/>
        <v/>
      </c>
      <c r="CR92" s="112" t="str">
        <f t="shared" ca="1" si="234"/>
        <v/>
      </c>
      <c r="CS92" s="112" t="str">
        <f t="shared" ca="1" si="235"/>
        <v/>
      </c>
      <c r="CT92" s="112" t="str">
        <f t="shared" ca="1" si="236"/>
        <v/>
      </c>
      <c r="CU92" s="112" t="str">
        <f t="shared" ca="1" si="237"/>
        <v/>
      </c>
      <c r="CV92" s="112" t="str">
        <f t="shared" ca="1" si="238"/>
        <v/>
      </c>
      <c r="CW92" s="112" t="str">
        <f t="shared" ca="1" si="162"/>
        <v/>
      </c>
      <c r="CX92" s="112" t="str">
        <f t="shared" ca="1" si="239"/>
        <v/>
      </c>
      <c r="CY92" s="112" t="str">
        <f t="shared" ca="1" si="165"/>
        <v/>
      </c>
      <c r="CZ92" s="112" t="str">
        <f t="shared" ca="1" si="240"/>
        <v/>
      </c>
      <c r="DA92" s="112" t="str">
        <f t="shared" ca="1" si="252"/>
        <v/>
      </c>
      <c r="DB92" s="112" t="str">
        <f t="shared" ca="1" si="260"/>
        <v/>
      </c>
      <c r="DC92" s="112" t="str">
        <f t="shared" ca="1" si="163"/>
        <v/>
      </c>
      <c r="DD92" s="112" t="str">
        <f t="shared" ca="1" si="254"/>
        <v/>
      </c>
      <c r="DE92" s="112" t="str">
        <f t="shared" ca="1" si="164"/>
        <v/>
      </c>
      <c r="DF92" s="112" t="str">
        <f t="shared" ca="1" si="244"/>
        <v/>
      </c>
      <c r="DG92" s="125">
        <f t="shared" ca="1" si="180"/>
        <v>40</v>
      </c>
      <c r="DH92" s="125">
        <f t="shared" ca="1" si="181"/>
        <v>100</v>
      </c>
      <c r="DI92" s="125" t="str">
        <f t="shared" ca="1" si="182"/>
        <v>-</v>
      </c>
      <c r="DJ92" s="125" t="str">
        <f t="shared" ca="1" si="183"/>
        <v>-</v>
      </c>
      <c r="DK92" s="112">
        <f t="shared" ca="1" si="184"/>
        <v>0.20967725112944513</v>
      </c>
      <c r="DL92" s="112">
        <f t="shared" ca="1" si="185"/>
        <v>0.14505982933840564</v>
      </c>
      <c r="DM92" s="112">
        <f t="shared" ca="1" si="186"/>
        <v>0.18999510710165377</v>
      </c>
      <c r="DN92" s="112">
        <f t="shared" si="187"/>
        <v>0.20967725112944513</v>
      </c>
      <c r="DO92" s="112">
        <f t="shared" si="188"/>
        <v>0.14505982933840564</v>
      </c>
      <c r="DP92" s="112">
        <f t="shared" si="189"/>
        <v>0.18999510710165377</v>
      </c>
      <c r="DQ92" s="112">
        <f t="shared" ca="1" si="258"/>
        <v>44.95</v>
      </c>
      <c r="DR92" s="112">
        <f t="shared" ca="1" si="255"/>
        <v>37.96</v>
      </c>
      <c r="DS92" s="112">
        <f t="shared" ca="1" si="256"/>
        <v>-17.510000000000002</v>
      </c>
      <c r="DT92" s="112">
        <f t="shared" si="241"/>
        <v>44.95</v>
      </c>
      <c r="DU92" s="112">
        <f t="shared" si="242"/>
        <v>37.96</v>
      </c>
      <c r="DV92" s="112">
        <f t="shared" si="243"/>
        <v>-17.510000000000002</v>
      </c>
      <c r="DW92" s="260"/>
      <c r="DX92" s="168"/>
      <c r="DY92" s="168"/>
    </row>
    <row r="93" spans="1:135" s="151" customFormat="1" ht="14" customHeight="1">
      <c r="A93" s="167"/>
      <c r="B93" s="153" t="str">
        <f t="shared" ca="1" si="166"/>
        <v>-</v>
      </c>
      <c r="C93" s="154" t="str">
        <f t="shared" ca="1" si="167"/>
        <v>-</v>
      </c>
      <c r="D93" s="155" t="str">
        <f t="shared" ca="1" si="168"/>
        <v>-</v>
      </c>
      <c r="E93" s="156">
        <f t="shared" ca="1" si="169"/>
        <v>50</v>
      </c>
      <c r="F93" s="186"/>
      <c r="G93" s="195"/>
      <c r="H93" s="248">
        <v>56.19</v>
      </c>
      <c r="I93" s="249">
        <v>0.04</v>
      </c>
      <c r="J93" s="250">
        <v>1.35</v>
      </c>
      <c r="K93" s="178"/>
      <c r="L93" s="204">
        <f t="shared" ca="1" si="170"/>
        <v>56.19</v>
      </c>
      <c r="M93" s="95">
        <f t="shared" ca="1" si="171"/>
        <v>0.04</v>
      </c>
      <c r="N93" s="205">
        <f t="shared" ca="1" si="172"/>
        <v>1.35</v>
      </c>
      <c r="O93" s="215"/>
      <c r="P93" s="157">
        <f t="shared" ca="1" si="173"/>
        <v>0</v>
      </c>
      <c r="Q93" s="215"/>
      <c r="R93" s="289">
        <f t="shared" ca="1" si="174"/>
        <v>0</v>
      </c>
      <c r="S93" s="290"/>
      <c r="T93" s="148"/>
      <c r="U93" s="291">
        <f t="shared" ca="1" si="175"/>
        <v>0</v>
      </c>
      <c r="V93" s="292"/>
      <c r="W93" s="23"/>
      <c r="X93" s="291">
        <f t="shared" ca="1" si="176"/>
        <v>0</v>
      </c>
      <c r="Y93" s="292"/>
      <c r="Z93" s="94"/>
      <c r="AA93" s="94"/>
      <c r="AB93" s="94"/>
      <c r="AC93" s="94"/>
      <c r="AD93" s="94"/>
      <c r="AE93" s="168"/>
      <c r="AF93" s="168"/>
      <c r="AG93" s="109">
        <f t="shared" ca="1" si="245"/>
        <v>66.739999999999995</v>
      </c>
      <c r="AH93" s="109">
        <f t="shared" ca="1" si="246"/>
        <v>24.04</v>
      </c>
      <c r="AI93" s="109">
        <f t="shared" ca="1" si="247"/>
        <v>50.36</v>
      </c>
      <c r="AJ93" s="109">
        <f t="shared" ca="1" si="190"/>
        <v>55.803684466171227</v>
      </c>
      <c r="AK93" s="113">
        <f t="shared" ca="1" si="191"/>
        <v>64.481917700477155</v>
      </c>
      <c r="AL93" s="159"/>
      <c r="AM93" s="112">
        <f t="shared" si="248"/>
        <v>66.739999999999995</v>
      </c>
      <c r="AN93" s="112">
        <f t="shared" si="249"/>
        <v>24.04</v>
      </c>
      <c r="AO93" s="112">
        <f t="shared" si="250"/>
        <v>50.36</v>
      </c>
      <c r="AP93" s="113">
        <f t="shared" si="192"/>
        <v>55.803684466171227</v>
      </c>
      <c r="AQ93" s="112">
        <f t="shared" si="257"/>
        <v>64.481917700477155</v>
      </c>
      <c r="AR93" s="255"/>
      <c r="AS93" s="112">
        <f t="shared" ca="1" si="193"/>
        <v>0</v>
      </c>
      <c r="AT93" s="112">
        <f t="shared" ca="1" si="194"/>
        <v>0</v>
      </c>
      <c r="AU93" s="112">
        <f t="shared" ca="1" si="195"/>
        <v>0</v>
      </c>
      <c r="AV93" s="112">
        <f t="shared" ca="1" si="196"/>
        <v>0</v>
      </c>
      <c r="AW93" s="112">
        <f t="shared" ca="1" si="259"/>
        <v>0</v>
      </c>
      <c r="AX93" s="112">
        <f t="shared" ca="1" si="177"/>
        <v>0</v>
      </c>
      <c r="AY93" s="112">
        <f t="shared" si="197"/>
        <v>1.2556108672285684</v>
      </c>
      <c r="AZ93" s="112">
        <f t="shared" si="198"/>
        <v>2.6947399954284048</v>
      </c>
      <c r="BA93" s="112">
        <f t="shared" si="199"/>
        <v>1.1478265657757376</v>
      </c>
      <c r="BB93" s="112">
        <f t="shared" si="200"/>
        <v>0.42589453207523714</v>
      </c>
      <c r="BC93" s="112">
        <f t="shared" si="201"/>
        <v>0.99990204913067027</v>
      </c>
      <c r="BD93" s="112">
        <f t="shared" ca="1" si="202"/>
        <v>66.739999999999995</v>
      </c>
      <c r="BE93" s="112">
        <f t="shared" si="203"/>
        <v>55.803684466171227</v>
      </c>
      <c r="BF93" s="112">
        <f t="shared" ca="1" si="204"/>
        <v>55.803684466171227</v>
      </c>
      <c r="BG93" s="112">
        <f t="shared" ca="1" si="205"/>
        <v>55.803684466171227</v>
      </c>
      <c r="BH93" s="112">
        <f t="shared" ca="1" si="206"/>
        <v>9.0302997135005558E-4</v>
      </c>
      <c r="BI93" s="112">
        <f t="shared" ca="1" si="207"/>
        <v>24.061708840511251</v>
      </c>
      <c r="BJ93" s="112">
        <f t="shared" ca="1" si="208"/>
        <v>24.061708840511251</v>
      </c>
      <c r="BK93" s="112">
        <f t="shared" ca="1" si="209"/>
        <v>55.813039984626684</v>
      </c>
      <c r="BL93" s="112">
        <f t="shared" ca="1" si="210"/>
        <v>55.813039984626684</v>
      </c>
      <c r="BM93" s="112">
        <f t="shared" ca="1" si="211"/>
        <v>55.813039984626684</v>
      </c>
      <c r="BN93" s="112">
        <f t="shared" ca="1" si="261"/>
        <v>64.461806109014375</v>
      </c>
      <c r="BO93" s="112">
        <f t="shared" ca="1" si="212"/>
        <v>64.461806109014375</v>
      </c>
      <c r="BP93" s="112">
        <f t="shared" ca="1" si="213"/>
        <v>64.461806109014375</v>
      </c>
      <c r="BQ93" s="112">
        <f t="shared" ca="1" si="214"/>
        <v>0.60051050892563651</v>
      </c>
      <c r="BR93" s="112">
        <f t="shared" ca="1" si="215"/>
        <v>0</v>
      </c>
      <c r="BS93" s="112">
        <f t="shared" ca="1" si="216"/>
        <v>0</v>
      </c>
      <c r="BT93" s="112">
        <f t="shared" ca="1" si="217"/>
        <v>0</v>
      </c>
      <c r="BU93" s="112">
        <f t="shared" ca="1" si="218"/>
        <v>0</v>
      </c>
      <c r="BV93" s="112">
        <f t="shared" ca="1" si="219"/>
        <v>1.2425922145752859</v>
      </c>
      <c r="BW93" s="112">
        <f t="shared" ca="1" si="220"/>
        <v>3.5115867993082008</v>
      </c>
      <c r="BX93" s="112">
        <f t="shared" ca="1" si="221"/>
        <v>1.502744755687826</v>
      </c>
      <c r="BY93" s="112">
        <f t="shared" ca="1" si="222"/>
        <v>4.7427656332102023E-30</v>
      </c>
      <c r="BZ93" s="112">
        <f t="shared" ca="1" si="223"/>
        <v>1.9963921048346989</v>
      </c>
      <c r="CA93" s="112">
        <f t="shared" ca="1" si="224"/>
        <v>-3.3051020321872987E-31</v>
      </c>
      <c r="CB93" s="112">
        <v>1</v>
      </c>
      <c r="CC93" s="112">
        <v>1</v>
      </c>
      <c r="CD93" s="112">
        <v>1</v>
      </c>
      <c r="CE93" s="112">
        <v>1</v>
      </c>
      <c r="CF93" s="112">
        <f t="shared" ca="1" si="225"/>
        <v>3.5111658009777051</v>
      </c>
      <c r="CG93" s="112">
        <f t="shared" ca="1" si="226"/>
        <v>1.8370552669925684</v>
      </c>
      <c r="CH93" s="255"/>
      <c r="CI93" s="150" t="str">
        <f t="shared" ca="1" si="178"/>
        <v>C0M40Y100K0</v>
      </c>
      <c r="CJ93" s="125">
        <f t="shared" ca="1" si="227"/>
        <v>0</v>
      </c>
      <c r="CK93" s="125">
        <f t="shared" ca="1" si="228"/>
        <v>0</v>
      </c>
      <c r="CL93" s="125">
        <f t="shared" ca="1" si="229"/>
        <v>0</v>
      </c>
      <c r="CM93" s="112">
        <f t="shared" ca="1" si="179"/>
        <v>0</v>
      </c>
      <c r="CN93" s="112">
        <f t="shared" ca="1" si="230"/>
        <v>0</v>
      </c>
      <c r="CO93" s="112">
        <f t="shared" ca="1" si="231"/>
        <v>0</v>
      </c>
      <c r="CP93" s="112">
        <f t="shared" ca="1" si="232"/>
        <v>0</v>
      </c>
      <c r="CQ93" s="112" t="str">
        <f t="shared" ca="1" si="233"/>
        <v/>
      </c>
      <c r="CR93" s="112" t="str">
        <f t="shared" ca="1" si="234"/>
        <v/>
      </c>
      <c r="CS93" s="112" t="str">
        <f t="shared" ca="1" si="235"/>
        <v/>
      </c>
      <c r="CT93" s="112" t="str">
        <f t="shared" ca="1" si="236"/>
        <v/>
      </c>
      <c r="CU93" s="112" t="str">
        <f t="shared" ca="1" si="237"/>
        <v/>
      </c>
      <c r="CV93" s="112" t="str">
        <f t="shared" ca="1" si="238"/>
        <v/>
      </c>
      <c r="CW93" s="112" t="str">
        <f t="shared" ca="1" si="162"/>
        <v/>
      </c>
      <c r="CX93" s="112" t="str">
        <f t="shared" ca="1" si="239"/>
        <v/>
      </c>
      <c r="CY93" s="112" t="str">
        <f t="shared" ca="1" si="165"/>
        <v/>
      </c>
      <c r="CZ93" s="112" t="str">
        <f t="shared" ca="1" si="240"/>
        <v/>
      </c>
      <c r="DA93" s="112" t="str">
        <f t="shared" ca="1" si="252"/>
        <v/>
      </c>
      <c r="DB93" s="112" t="str">
        <f t="shared" ca="1" si="260"/>
        <v/>
      </c>
      <c r="DC93" s="112" t="str">
        <f t="shared" ca="1" si="163"/>
        <v/>
      </c>
      <c r="DD93" s="112" t="str">
        <f t="shared" ca="1" si="254"/>
        <v/>
      </c>
      <c r="DE93" s="112" t="str">
        <f t="shared" ca="1" si="164"/>
        <v/>
      </c>
      <c r="DF93" s="112" t="str">
        <f t="shared" ca="1" si="244"/>
        <v/>
      </c>
      <c r="DG93" s="125" t="str">
        <f t="shared" ca="1" si="180"/>
        <v>-</v>
      </c>
      <c r="DH93" s="125">
        <f t="shared" ca="1" si="181"/>
        <v>40</v>
      </c>
      <c r="DI93" s="125">
        <f t="shared" ca="1" si="182"/>
        <v>100</v>
      </c>
      <c r="DJ93" s="125" t="str">
        <f t="shared" ca="1" si="183"/>
        <v>-</v>
      </c>
      <c r="DK93" s="112">
        <f t="shared" ca="1" si="184"/>
        <v>0.42553003093423192</v>
      </c>
      <c r="DL93" s="112">
        <f t="shared" ca="1" si="185"/>
        <v>0.36288797897105241</v>
      </c>
      <c r="DM93" s="112">
        <f t="shared" ca="1" si="186"/>
        <v>8.1067778632845186E-2</v>
      </c>
      <c r="DN93" s="112">
        <f t="shared" si="187"/>
        <v>0.42553003093423192</v>
      </c>
      <c r="DO93" s="112">
        <f t="shared" si="188"/>
        <v>0.36288797897105241</v>
      </c>
      <c r="DP93" s="112">
        <f t="shared" si="189"/>
        <v>8.1067778632845186E-2</v>
      </c>
      <c r="DQ93" s="112">
        <f t="shared" ca="1" si="258"/>
        <v>66.739999999999995</v>
      </c>
      <c r="DR93" s="112">
        <f t="shared" ca="1" si="255"/>
        <v>24.04</v>
      </c>
      <c r="DS93" s="112">
        <f t="shared" ca="1" si="256"/>
        <v>50.36</v>
      </c>
      <c r="DT93" s="112">
        <f t="shared" si="241"/>
        <v>66.739999999999995</v>
      </c>
      <c r="DU93" s="112">
        <f t="shared" si="242"/>
        <v>24.04</v>
      </c>
      <c r="DV93" s="112">
        <f t="shared" si="243"/>
        <v>50.36</v>
      </c>
      <c r="DW93" s="260"/>
      <c r="DX93" s="168"/>
      <c r="DY93" s="168"/>
    </row>
    <row r="94" spans="1:135" s="151" customFormat="1" ht="14" customHeight="1">
      <c r="A94" s="215"/>
      <c r="B94" s="153">
        <f t="shared" ca="1" si="166"/>
        <v>50</v>
      </c>
      <c r="C94" s="154">
        <f t="shared" ca="1" si="167"/>
        <v>40</v>
      </c>
      <c r="D94" s="155">
        <f t="shared" ca="1" si="168"/>
        <v>40</v>
      </c>
      <c r="E94" s="156" t="str">
        <f t="shared" ca="1" si="169"/>
        <v>-</v>
      </c>
      <c r="F94" s="186"/>
      <c r="G94" s="195"/>
      <c r="H94" s="248">
        <v>54.06</v>
      </c>
      <c r="I94" s="249">
        <v>-0.02</v>
      </c>
      <c r="J94" s="250">
        <v>1.35</v>
      </c>
      <c r="K94" s="178"/>
      <c r="L94" s="204">
        <f t="shared" ca="1" si="170"/>
        <v>54.06</v>
      </c>
      <c r="M94" s="95">
        <f t="shared" ca="1" si="171"/>
        <v>-0.02</v>
      </c>
      <c r="N94" s="205">
        <f t="shared" ca="1" si="172"/>
        <v>1.35</v>
      </c>
      <c r="O94" s="215"/>
      <c r="P94" s="157">
        <f t="shared" ca="1" si="173"/>
        <v>0</v>
      </c>
      <c r="Q94" s="215"/>
      <c r="R94" s="289">
        <f t="shared" ca="1" si="174"/>
        <v>0</v>
      </c>
      <c r="S94" s="290"/>
      <c r="T94" s="148"/>
      <c r="U94" s="291">
        <f t="shared" ca="1" si="175"/>
        <v>0</v>
      </c>
      <c r="V94" s="292"/>
      <c r="W94" s="23"/>
      <c r="X94" s="291">
        <f t="shared" ca="1" si="176"/>
        <v>0</v>
      </c>
      <c r="Y94" s="292"/>
      <c r="Z94" s="94"/>
      <c r="AA94" s="94"/>
      <c r="AB94" s="94"/>
      <c r="AC94" s="94"/>
      <c r="AD94" s="94"/>
      <c r="AE94" s="168"/>
      <c r="AF94" s="168"/>
      <c r="AG94" s="109">
        <f t="shared" ca="1" si="245"/>
        <v>55.04</v>
      </c>
      <c r="AH94" s="109">
        <f t="shared" ca="1" si="246"/>
        <v>-37.229999999999997</v>
      </c>
      <c r="AI94" s="109">
        <f t="shared" ca="1" si="247"/>
        <v>-8.49</v>
      </c>
      <c r="AJ94" s="109">
        <f t="shared" ca="1" si="190"/>
        <v>38.185769600729529</v>
      </c>
      <c r="AK94" s="113">
        <f t="shared" ca="1" si="191"/>
        <v>192.84616498074789</v>
      </c>
      <c r="AL94" s="159"/>
      <c r="AM94" s="112">
        <f t="shared" si="248"/>
        <v>55.04</v>
      </c>
      <c r="AN94" s="112">
        <f t="shared" si="249"/>
        <v>-37.229999999999997</v>
      </c>
      <c r="AO94" s="112">
        <f t="shared" si="250"/>
        <v>-8.49</v>
      </c>
      <c r="AP94" s="113">
        <f t="shared" si="192"/>
        <v>38.185769600729529</v>
      </c>
      <c r="AQ94" s="112">
        <f t="shared" si="257"/>
        <v>192.84616498074789</v>
      </c>
      <c r="AR94" s="255"/>
      <c r="AS94" s="112">
        <f t="shared" ca="1" si="193"/>
        <v>0</v>
      </c>
      <c r="AT94" s="112">
        <f t="shared" ca="1" si="194"/>
        <v>0</v>
      </c>
      <c r="AU94" s="112">
        <f t="shared" ca="1" si="195"/>
        <v>0</v>
      </c>
      <c r="AV94" s="112">
        <f t="shared" ca="1" si="196"/>
        <v>0</v>
      </c>
      <c r="AW94" s="112">
        <f t="shared" ca="1" si="259"/>
        <v>0</v>
      </c>
      <c r="AX94" s="112">
        <f t="shared" ca="1" si="177"/>
        <v>0</v>
      </c>
      <c r="AY94" s="112">
        <f t="shared" si="197"/>
        <v>1.1439585768082068</v>
      </c>
      <c r="AZ94" s="112">
        <f t="shared" si="198"/>
        <v>2.2619151890287199</v>
      </c>
      <c r="BA94" s="112">
        <f t="shared" si="199"/>
        <v>1.7192486227981487</v>
      </c>
      <c r="BB94" s="112">
        <f t="shared" si="200"/>
        <v>0.75997818993614263</v>
      </c>
      <c r="BC94" s="112">
        <f t="shared" si="201"/>
        <v>0.99955349485657774</v>
      </c>
      <c r="BD94" s="112">
        <f t="shared" ca="1" si="202"/>
        <v>55.04</v>
      </c>
      <c r="BE94" s="112">
        <f t="shared" si="203"/>
        <v>38.185769600729529</v>
      </c>
      <c r="BF94" s="112">
        <f t="shared" ca="1" si="204"/>
        <v>38.185769600729529</v>
      </c>
      <c r="BG94" s="112">
        <f t="shared" ca="1" si="205"/>
        <v>38.185769600729529</v>
      </c>
      <c r="BH94" s="112">
        <f t="shared" ca="1" si="206"/>
        <v>1.2410835002272913E-2</v>
      </c>
      <c r="BI94" s="112">
        <f t="shared" ca="1" si="207"/>
        <v>-37.692055387134616</v>
      </c>
      <c r="BJ94" s="112">
        <f t="shared" ca="1" si="208"/>
        <v>-37.692055387134616</v>
      </c>
      <c r="BK94" s="112">
        <f t="shared" ca="1" si="209"/>
        <v>38.636396562138444</v>
      </c>
      <c r="BL94" s="112">
        <f t="shared" ca="1" si="210"/>
        <v>38.636396562138444</v>
      </c>
      <c r="BM94" s="112">
        <f t="shared" ca="1" si="211"/>
        <v>38.636396562138444</v>
      </c>
      <c r="BN94" s="112">
        <f t="shared" ca="1" si="261"/>
        <v>192.69382050535924</v>
      </c>
      <c r="BO94" s="112">
        <f t="shared" ca="1" si="212"/>
        <v>192.69382050535924</v>
      </c>
      <c r="BP94" s="112">
        <f t="shared" ca="1" si="213"/>
        <v>192.69382050535924</v>
      </c>
      <c r="BQ94" s="112">
        <f t="shared" ca="1" si="214"/>
        <v>0.95378916939582736</v>
      </c>
      <c r="BR94" s="112">
        <f t="shared" ca="1" si="215"/>
        <v>0</v>
      </c>
      <c r="BS94" s="112">
        <f t="shared" ca="1" si="216"/>
        <v>0</v>
      </c>
      <c r="BT94" s="112">
        <f t="shared" ca="1" si="217"/>
        <v>0</v>
      </c>
      <c r="BU94" s="112">
        <f t="shared" ca="1" si="218"/>
        <v>0</v>
      </c>
      <c r="BV94" s="112">
        <f t="shared" ca="1" si="219"/>
        <v>1.0565479353603264</v>
      </c>
      <c r="BW94" s="112">
        <f t="shared" ca="1" si="220"/>
        <v>2.7386378452962301</v>
      </c>
      <c r="BX94" s="112">
        <f t="shared" ca="1" si="221"/>
        <v>1.5527646487817472</v>
      </c>
      <c r="BY94" s="112">
        <f t="shared" ca="1" si="222"/>
        <v>5.8864097447285752E-4</v>
      </c>
      <c r="BZ94" s="112">
        <f t="shared" ca="1" si="223"/>
        <v>1.954137040845453</v>
      </c>
      <c r="CA94" s="112">
        <f t="shared" ca="1" si="224"/>
        <v>-4.0152525776639035E-5</v>
      </c>
      <c r="CB94" s="112">
        <v>1</v>
      </c>
      <c r="CC94" s="112">
        <v>1</v>
      </c>
      <c r="CD94" s="112">
        <v>1</v>
      </c>
      <c r="CE94" s="112">
        <v>1</v>
      </c>
      <c r="CF94" s="112">
        <f t="shared" ca="1" si="225"/>
        <v>2.7183596320328287</v>
      </c>
      <c r="CG94" s="112">
        <f t="shared" ca="1" si="226"/>
        <v>1.5727865440109428</v>
      </c>
      <c r="CH94" s="255"/>
      <c r="CI94" s="150" t="str">
        <f t="shared" ca="1" si="178"/>
        <v>C100M0Y40K0</v>
      </c>
      <c r="CJ94" s="125">
        <f t="shared" ca="1" si="227"/>
        <v>0</v>
      </c>
      <c r="CK94" s="125">
        <f t="shared" ca="1" si="228"/>
        <v>0</v>
      </c>
      <c r="CL94" s="125">
        <f t="shared" ca="1" si="229"/>
        <v>0</v>
      </c>
      <c r="CM94" s="112">
        <f t="shared" ca="1" si="179"/>
        <v>0</v>
      </c>
      <c r="CN94" s="112">
        <f t="shared" ca="1" si="230"/>
        <v>0</v>
      </c>
      <c r="CO94" s="112">
        <f t="shared" ca="1" si="231"/>
        <v>0</v>
      </c>
      <c r="CP94" s="112">
        <f t="shared" ca="1" si="232"/>
        <v>0</v>
      </c>
      <c r="CQ94" s="112" t="str">
        <f t="shared" ca="1" si="233"/>
        <v/>
      </c>
      <c r="CR94" s="112" t="str">
        <f t="shared" ca="1" si="234"/>
        <v/>
      </c>
      <c r="CS94" s="112" t="str">
        <f t="shared" ca="1" si="235"/>
        <v/>
      </c>
      <c r="CT94" s="112" t="str">
        <f t="shared" ca="1" si="236"/>
        <v/>
      </c>
      <c r="CU94" s="112" t="str">
        <f t="shared" ca="1" si="237"/>
        <v/>
      </c>
      <c r="CV94" s="112" t="str">
        <f t="shared" ca="1" si="238"/>
        <v/>
      </c>
      <c r="CW94" s="112" t="str">
        <f t="shared" ca="1" si="162"/>
        <v/>
      </c>
      <c r="CX94" s="112" t="str">
        <f t="shared" ca="1" si="239"/>
        <v/>
      </c>
      <c r="CY94" s="112" t="str">
        <f t="shared" ca="1" si="165"/>
        <v/>
      </c>
      <c r="CZ94" s="112" t="str">
        <f t="shared" ca="1" si="240"/>
        <v/>
      </c>
      <c r="DA94" s="112" t="str">
        <f t="shared" ca="1" si="252"/>
        <v/>
      </c>
      <c r="DB94" s="112" t="str">
        <f t="shared" ca="1" si="260"/>
        <v/>
      </c>
      <c r="DC94" s="112" t="str">
        <f t="shared" ca="1" si="163"/>
        <v/>
      </c>
      <c r="DD94" s="112" t="str">
        <f t="shared" ca="1" si="254"/>
        <v/>
      </c>
      <c r="DE94" s="112" t="str">
        <f t="shared" ca="1" si="164"/>
        <v/>
      </c>
      <c r="DF94" s="112" t="str">
        <f t="shared" ca="1" si="244"/>
        <v/>
      </c>
      <c r="DG94" s="125">
        <f t="shared" ca="1" si="180"/>
        <v>100</v>
      </c>
      <c r="DH94" s="125" t="str">
        <f t="shared" ca="1" si="181"/>
        <v>-</v>
      </c>
      <c r="DI94" s="125">
        <f t="shared" ca="1" si="182"/>
        <v>40</v>
      </c>
      <c r="DJ94" s="125" t="str">
        <f t="shared" ca="1" si="183"/>
        <v>-</v>
      </c>
      <c r="DK94" s="112">
        <f t="shared" ca="1" si="184"/>
        <v>0.15010738157883863</v>
      </c>
      <c r="DL94" s="112">
        <f t="shared" ca="1" si="185"/>
        <v>0.22968619361187415</v>
      </c>
      <c r="DM94" s="112">
        <f t="shared" ca="1" si="186"/>
        <v>0.23166170133285871</v>
      </c>
      <c r="DN94" s="112">
        <f t="shared" si="187"/>
        <v>0.15010738157883863</v>
      </c>
      <c r="DO94" s="112">
        <f t="shared" si="188"/>
        <v>0.22968619361187415</v>
      </c>
      <c r="DP94" s="112">
        <f t="shared" si="189"/>
        <v>0.23166170133285871</v>
      </c>
      <c r="DQ94" s="112">
        <f t="shared" ca="1" si="258"/>
        <v>55.04</v>
      </c>
      <c r="DR94" s="112">
        <f t="shared" ca="1" si="255"/>
        <v>-37.229999999999997</v>
      </c>
      <c r="DS94" s="112">
        <f t="shared" ca="1" si="256"/>
        <v>-8.49</v>
      </c>
      <c r="DT94" s="112">
        <f t="shared" si="241"/>
        <v>55.04</v>
      </c>
      <c r="DU94" s="112">
        <f t="shared" si="242"/>
        <v>-37.229999999999997</v>
      </c>
      <c r="DV94" s="112">
        <f t="shared" si="243"/>
        <v>-8.49</v>
      </c>
      <c r="DW94" s="260"/>
      <c r="DX94" s="168"/>
      <c r="DY94" s="168"/>
    </row>
    <row r="95" spans="1:135" s="151" customFormat="1" ht="14" customHeight="1">
      <c r="A95" s="215"/>
      <c r="B95" s="153">
        <f t="shared" ca="1" si="166"/>
        <v>40</v>
      </c>
      <c r="C95" s="154">
        <f t="shared" ca="1" si="167"/>
        <v>40</v>
      </c>
      <c r="D95" s="155">
        <f t="shared" ca="1" si="168"/>
        <v>70</v>
      </c>
      <c r="E95" s="156" t="str">
        <f t="shared" ca="1" si="169"/>
        <v>-</v>
      </c>
      <c r="F95" s="186"/>
      <c r="G95" s="195"/>
      <c r="H95" s="248">
        <v>55.03</v>
      </c>
      <c r="I95" s="249">
        <v>2.75</v>
      </c>
      <c r="J95" s="250">
        <v>20.32</v>
      </c>
      <c r="K95" s="178"/>
      <c r="L95" s="204">
        <f t="shared" ca="1" si="170"/>
        <v>55.03</v>
      </c>
      <c r="M95" s="95">
        <f t="shared" ca="1" si="171"/>
        <v>2.75</v>
      </c>
      <c r="N95" s="205">
        <f t="shared" ca="1" si="172"/>
        <v>20.32</v>
      </c>
      <c r="O95" s="215"/>
      <c r="P95" s="157">
        <f t="shared" ca="1" si="173"/>
        <v>0</v>
      </c>
      <c r="Q95" s="215"/>
      <c r="R95" s="289">
        <f t="shared" ca="1" si="174"/>
        <v>0</v>
      </c>
      <c r="S95" s="290"/>
      <c r="T95" s="148"/>
      <c r="U95" s="291">
        <f t="shared" ca="1" si="175"/>
        <v>0</v>
      </c>
      <c r="V95" s="292"/>
      <c r="W95" s="23"/>
      <c r="X95" s="291">
        <f t="shared" ca="1" si="176"/>
        <v>0</v>
      </c>
      <c r="Y95" s="292"/>
      <c r="Z95" s="94"/>
      <c r="AA95" s="94"/>
      <c r="AB95" s="94"/>
      <c r="AC95" s="94"/>
      <c r="AD95" s="94"/>
      <c r="AE95" s="168"/>
      <c r="AF95" s="168"/>
      <c r="AG95" s="109">
        <f t="shared" ca="1" si="245"/>
        <v>29.88</v>
      </c>
      <c r="AH95" s="109">
        <f t="shared" ca="1" si="246"/>
        <v>-6.79</v>
      </c>
      <c r="AI95" s="109">
        <f t="shared" ca="1" si="247"/>
        <v>-9.7899999999999991</v>
      </c>
      <c r="AJ95" s="109">
        <f t="shared" ca="1" si="190"/>
        <v>11.914201609843607</v>
      </c>
      <c r="AK95" s="113">
        <f t="shared" ca="1" si="191"/>
        <v>235.25618247833347</v>
      </c>
      <c r="AL95" s="159"/>
      <c r="AM95" s="112">
        <f t="shared" si="248"/>
        <v>29.88</v>
      </c>
      <c r="AN95" s="112">
        <f t="shared" si="249"/>
        <v>-6.79</v>
      </c>
      <c r="AO95" s="112">
        <f t="shared" si="250"/>
        <v>-9.7899999999999991</v>
      </c>
      <c r="AP95" s="113">
        <f t="shared" si="192"/>
        <v>11.914201609843607</v>
      </c>
      <c r="AQ95" s="112">
        <f t="shared" si="257"/>
        <v>235.25618247833347</v>
      </c>
      <c r="AR95" s="255"/>
      <c r="AS95" s="112">
        <f t="shared" ca="1" si="193"/>
        <v>0</v>
      </c>
      <c r="AT95" s="112">
        <f t="shared" ca="1" si="194"/>
        <v>0</v>
      </c>
      <c r="AU95" s="112">
        <f t="shared" ca="1" si="195"/>
        <v>0</v>
      </c>
      <c r="AV95" s="112">
        <f t="shared" ca="1" si="196"/>
        <v>0</v>
      </c>
      <c r="AW95" s="112">
        <f t="shared" ca="1" si="259"/>
        <v>0</v>
      </c>
      <c r="AX95" s="112">
        <f t="shared" ca="1" si="177"/>
        <v>0</v>
      </c>
      <c r="AY95" s="112">
        <f t="shared" si="197"/>
        <v>0.80158925534018344</v>
      </c>
      <c r="AZ95" s="112">
        <f t="shared" si="198"/>
        <v>1.2955052467933086</v>
      </c>
      <c r="BA95" s="112">
        <f t="shared" si="199"/>
        <v>0.93098478799400985</v>
      </c>
      <c r="BB95" s="112">
        <f t="shared" si="200"/>
        <v>0.70565940624874668</v>
      </c>
      <c r="BC95" s="112">
        <f t="shared" si="201"/>
        <v>0.95594426128811461</v>
      </c>
      <c r="BD95" s="112">
        <f t="shared" ca="1" si="202"/>
        <v>29.88</v>
      </c>
      <c r="BE95" s="112">
        <f t="shared" si="203"/>
        <v>11.914201609843607</v>
      </c>
      <c r="BF95" s="112">
        <f t="shared" ca="1" si="204"/>
        <v>11.914201609843607</v>
      </c>
      <c r="BG95" s="112">
        <f t="shared" ca="1" si="205"/>
        <v>11.914201609843607</v>
      </c>
      <c r="BH95" s="112">
        <f t="shared" ca="1" si="206"/>
        <v>0.46274382195017633</v>
      </c>
      <c r="BI95" s="112">
        <f t="shared" ca="1" si="207"/>
        <v>-9.9320305510416969</v>
      </c>
      <c r="BJ95" s="112">
        <f t="shared" ca="1" si="208"/>
        <v>-9.9320305510416969</v>
      </c>
      <c r="BK95" s="112">
        <f t="shared" ca="1" si="209"/>
        <v>13.945943168779429</v>
      </c>
      <c r="BL95" s="112">
        <f t="shared" ca="1" si="210"/>
        <v>13.945943168779429</v>
      </c>
      <c r="BM95" s="112">
        <f t="shared" ca="1" si="211"/>
        <v>13.945943168779429</v>
      </c>
      <c r="BN95" s="112">
        <f t="shared" ca="1" si="261"/>
        <v>224.58738475552329</v>
      </c>
      <c r="BO95" s="112">
        <f t="shared" ca="1" si="212"/>
        <v>224.58738475552329</v>
      </c>
      <c r="BP95" s="112">
        <f t="shared" ca="1" si="213"/>
        <v>224.58738475552329</v>
      </c>
      <c r="BQ95" s="112">
        <f t="shared" ca="1" si="214"/>
        <v>1.4978827111526725</v>
      </c>
      <c r="BR95" s="112">
        <f t="shared" ca="1" si="215"/>
        <v>0</v>
      </c>
      <c r="BS95" s="112">
        <f t="shared" ca="1" si="216"/>
        <v>0</v>
      </c>
      <c r="BT95" s="112">
        <f t="shared" ca="1" si="217"/>
        <v>0</v>
      </c>
      <c r="BU95" s="112">
        <f t="shared" ca="1" si="218"/>
        <v>0</v>
      </c>
      <c r="BV95" s="112">
        <f t="shared" ca="1" si="219"/>
        <v>1.2946100765845914</v>
      </c>
      <c r="BW95" s="112">
        <f t="shared" ca="1" si="220"/>
        <v>1.6275674425950744</v>
      </c>
      <c r="BX95" s="112">
        <f t="shared" ca="1" si="221"/>
        <v>1.3133408074484865</v>
      </c>
      <c r="BY95" s="112">
        <f t="shared" ca="1" si="222"/>
        <v>0.5142254661553719</v>
      </c>
      <c r="BZ95" s="112">
        <f t="shared" ca="1" si="223"/>
        <v>0.25715074291503531</v>
      </c>
      <c r="CA95" s="112">
        <f t="shared" ca="1" si="224"/>
        <v>-4.6155706758367367E-3</v>
      </c>
      <c r="CB95" s="112">
        <v>1</v>
      </c>
      <c r="CC95" s="112">
        <v>1</v>
      </c>
      <c r="CD95" s="112">
        <v>1</v>
      </c>
      <c r="CE95" s="112">
        <v>1</v>
      </c>
      <c r="CF95" s="112">
        <f t="shared" ca="1" si="225"/>
        <v>1.5361390724429622</v>
      </c>
      <c r="CG95" s="112">
        <f t="shared" ca="1" si="226"/>
        <v>1.1787130241476542</v>
      </c>
      <c r="CH95" s="255"/>
      <c r="CI95" s="150" t="str">
        <f t="shared" ca="1" si="178"/>
        <v>C100M0Y0K80</v>
      </c>
      <c r="CJ95" s="125">
        <f t="shared" ca="1" si="227"/>
        <v>0</v>
      </c>
      <c r="CK95" s="125">
        <f t="shared" ca="1" si="228"/>
        <v>0</v>
      </c>
      <c r="CL95" s="125">
        <f t="shared" ca="1" si="229"/>
        <v>0</v>
      </c>
      <c r="CM95" s="112">
        <f t="shared" ca="1" si="179"/>
        <v>0</v>
      </c>
      <c r="CN95" s="112">
        <f t="shared" ca="1" si="230"/>
        <v>0</v>
      </c>
      <c r="CO95" s="112">
        <f t="shared" ca="1" si="231"/>
        <v>0</v>
      </c>
      <c r="CP95" s="112">
        <f t="shared" ca="1" si="232"/>
        <v>0</v>
      </c>
      <c r="CQ95" s="112" t="str">
        <f t="shared" ca="1" si="233"/>
        <v/>
      </c>
      <c r="CR95" s="112" t="str">
        <f t="shared" ca="1" si="234"/>
        <v/>
      </c>
      <c r="CS95" s="112" t="str">
        <f t="shared" ca="1" si="235"/>
        <v/>
      </c>
      <c r="CT95" s="112" t="str">
        <f t="shared" ca="1" si="236"/>
        <v/>
      </c>
      <c r="CU95" s="112" t="str">
        <f t="shared" ca="1" si="237"/>
        <v/>
      </c>
      <c r="CV95" s="112" t="str">
        <f t="shared" ca="1" si="238"/>
        <v/>
      </c>
      <c r="CW95" s="112" t="str">
        <f t="shared" ca="1" si="162"/>
        <v/>
      </c>
      <c r="CX95" s="112" t="str">
        <f t="shared" ca="1" si="239"/>
        <v/>
      </c>
      <c r="CY95" s="112" t="str">
        <f t="shared" ca="1" si="165"/>
        <v/>
      </c>
      <c r="CZ95" s="112" t="str">
        <f t="shared" ca="1" si="240"/>
        <v/>
      </c>
      <c r="DA95" s="112" t="str">
        <f t="shared" ca="1" si="252"/>
        <v/>
      </c>
      <c r="DB95" s="112" t="str">
        <f t="shared" ca="1" si="260"/>
        <v/>
      </c>
      <c r="DC95" s="112" t="str">
        <f t="shared" ca="1" si="163"/>
        <v/>
      </c>
      <c r="DD95" s="112" t="str">
        <f t="shared" ca="1" si="254"/>
        <v/>
      </c>
      <c r="DE95" s="112" t="str">
        <f t="shared" ca="1" si="164"/>
        <v/>
      </c>
      <c r="DF95" s="112" t="str">
        <f t="shared" ca="1" si="244"/>
        <v/>
      </c>
      <c r="DG95" s="125">
        <f t="shared" ca="1" si="180"/>
        <v>100</v>
      </c>
      <c r="DH95" s="125" t="str">
        <f t="shared" ca="1" si="181"/>
        <v>-</v>
      </c>
      <c r="DI95" s="125" t="str">
        <f t="shared" ca="1" si="182"/>
        <v>-</v>
      </c>
      <c r="DJ95" s="125">
        <f t="shared" ca="1" si="183"/>
        <v>80</v>
      </c>
      <c r="DK95" s="112">
        <f t="shared" ca="1" si="184"/>
        <v>5.3720883698576596E-2</v>
      </c>
      <c r="DL95" s="112">
        <f t="shared" ca="1" si="185"/>
        <v>6.1872299930296436E-2</v>
      </c>
      <c r="DM95" s="112">
        <f t="shared" ca="1" si="186"/>
        <v>7.2430348778412673E-2</v>
      </c>
      <c r="DN95" s="112">
        <f t="shared" si="187"/>
        <v>5.3720883698576596E-2</v>
      </c>
      <c r="DO95" s="112">
        <f t="shared" si="188"/>
        <v>6.1872299930296436E-2</v>
      </c>
      <c r="DP95" s="112">
        <f t="shared" si="189"/>
        <v>7.2430348778412673E-2</v>
      </c>
      <c r="DQ95" s="112">
        <f t="shared" ca="1" si="258"/>
        <v>29.88</v>
      </c>
      <c r="DR95" s="112">
        <f t="shared" ca="1" si="255"/>
        <v>-6.79</v>
      </c>
      <c r="DS95" s="112">
        <f t="shared" ca="1" si="256"/>
        <v>-9.7899999999999991</v>
      </c>
      <c r="DT95" s="112">
        <f t="shared" si="241"/>
        <v>29.88</v>
      </c>
      <c r="DU95" s="112">
        <f t="shared" si="242"/>
        <v>-6.79</v>
      </c>
      <c r="DV95" s="112">
        <f t="shared" si="243"/>
        <v>-9.7899999999999991</v>
      </c>
      <c r="DW95" s="260"/>
      <c r="DX95" s="168"/>
      <c r="DY95" s="168"/>
    </row>
    <row r="96" spans="1:135" s="151" customFormat="1" ht="14" customHeight="1">
      <c r="A96" s="215"/>
      <c r="B96" s="153" t="str">
        <f t="shared" ca="1" si="166"/>
        <v>-</v>
      </c>
      <c r="C96" s="154" t="str">
        <f t="shared" ca="1" si="167"/>
        <v>-</v>
      </c>
      <c r="D96" s="155" t="str">
        <f t="shared" ca="1" si="168"/>
        <v>-</v>
      </c>
      <c r="E96" s="156">
        <f t="shared" ca="1" si="169"/>
        <v>75</v>
      </c>
      <c r="F96" s="186"/>
      <c r="G96" s="195"/>
      <c r="H96" s="248">
        <v>41.75</v>
      </c>
      <c r="I96" s="249">
        <v>0.44</v>
      </c>
      <c r="J96" s="250">
        <v>1.41</v>
      </c>
      <c r="K96" s="178"/>
      <c r="L96" s="204">
        <f t="shared" ca="1" si="170"/>
        <v>41.75</v>
      </c>
      <c r="M96" s="95">
        <f t="shared" ca="1" si="171"/>
        <v>0.44</v>
      </c>
      <c r="N96" s="205">
        <f t="shared" ca="1" si="172"/>
        <v>1.41</v>
      </c>
      <c r="O96" s="215"/>
      <c r="P96" s="157">
        <f t="shared" ca="1" si="173"/>
        <v>0</v>
      </c>
      <c r="Q96" s="215"/>
      <c r="R96" s="289">
        <f t="shared" ca="1" si="174"/>
        <v>0</v>
      </c>
      <c r="S96" s="290"/>
      <c r="T96" s="148"/>
      <c r="U96" s="291">
        <f t="shared" ca="1" si="175"/>
        <v>0</v>
      </c>
      <c r="V96" s="292"/>
      <c r="W96" s="23"/>
      <c r="X96" s="291">
        <f t="shared" ca="1" si="176"/>
        <v>0</v>
      </c>
      <c r="Y96" s="292"/>
      <c r="Z96" s="94"/>
      <c r="AA96" s="94"/>
      <c r="AB96" s="94"/>
      <c r="AC96" s="94"/>
      <c r="AD96" s="94"/>
      <c r="AE96" s="169"/>
      <c r="AF96" s="169"/>
      <c r="AG96" s="109">
        <f t="shared" ca="1" si="245"/>
        <v>29.16</v>
      </c>
      <c r="AH96" s="109">
        <f t="shared" ca="1" si="246"/>
        <v>17.760000000000002</v>
      </c>
      <c r="AI96" s="109">
        <f t="shared" ca="1" si="247"/>
        <v>0.51</v>
      </c>
      <c r="AJ96" s="109">
        <f t="shared" ca="1" si="190"/>
        <v>17.76732112615743</v>
      </c>
      <c r="AK96" s="113">
        <f t="shared" ca="1" si="191"/>
        <v>1.6448659617758588</v>
      </c>
      <c r="AL96" s="159"/>
      <c r="AM96" s="112">
        <f t="shared" si="248"/>
        <v>29.16</v>
      </c>
      <c r="AN96" s="112">
        <f t="shared" si="249"/>
        <v>17.760000000000002</v>
      </c>
      <c r="AO96" s="112">
        <f t="shared" si="250"/>
        <v>0.51</v>
      </c>
      <c r="AP96" s="113">
        <f t="shared" si="192"/>
        <v>17.76732112615743</v>
      </c>
      <c r="AQ96" s="112">
        <f t="shared" si="257"/>
        <v>1.6448659617758588</v>
      </c>
      <c r="AR96" s="255"/>
      <c r="AS96" s="112">
        <f t="shared" ca="1" si="193"/>
        <v>0</v>
      </c>
      <c r="AT96" s="112">
        <f t="shared" ca="1" si="194"/>
        <v>0</v>
      </c>
      <c r="AU96" s="112">
        <f t="shared" ca="1" si="195"/>
        <v>0</v>
      </c>
      <c r="AV96" s="112">
        <f t="shared" ca="1" si="196"/>
        <v>0</v>
      </c>
      <c r="AW96" s="112">
        <f t="shared" ca="1" si="259"/>
        <v>0</v>
      </c>
      <c r="AX96" s="112">
        <f t="shared" ca="1" si="177"/>
        <v>0</v>
      </c>
      <c r="AY96" s="112">
        <f t="shared" si="197"/>
        <v>0.78883706989094693</v>
      </c>
      <c r="AZ96" s="112">
        <f t="shared" si="198"/>
        <v>1.5575322121503552</v>
      </c>
      <c r="BA96" s="112">
        <f t="shared" si="199"/>
        <v>1.0652569710990074</v>
      </c>
      <c r="BB96" s="112">
        <f t="shared" si="200"/>
        <v>0.68094013999771841</v>
      </c>
      <c r="BC96" s="112">
        <f t="shared" si="201"/>
        <v>0.99060105440720814</v>
      </c>
      <c r="BD96" s="112">
        <f t="shared" ca="1" si="202"/>
        <v>29.16</v>
      </c>
      <c r="BE96" s="112">
        <f t="shared" si="203"/>
        <v>17.76732112615743</v>
      </c>
      <c r="BF96" s="112">
        <f t="shared" ca="1" si="204"/>
        <v>17.76732112615743</v>
      </c>
      <c r="BG96" s="112">
        <f t="shared" ca="1" si="205"/>
        <v>17.76732112615743</v>
      </c>
      <c r="BH96" s="112">
        <f t="shared" ca="1" si="206"/>
        <v>0.35517946263782435</v>
      </c>
      <c r="BI96" s="112">
        <f t="shared" ca="1" si="207"/>
        <v>24.067987256447765</v>
      </c>
      <c r="BJ96" s="112">
        <f t="shared" ca="1" si="208"/>
        <v>24.067987256447765</v>
      </c>
      <c r="BK96" s="112">
        <f t="shared" ca="1" si="209"/>
        <v>24.073390093140848</v>
      </c>
      <c r="BL96" s="112">
        <f t="shared" ca="1" si="210"/>
        <v>24.073390093140848</v>
      </c>
      <c r="BM96" s="112">
        <f t="shared" ca="1" si="211"/>
        <v>24.073390093140848</v>
      </c>
      <c r="BN96" s="112">
        <f t="shared" ca="1" si="261"/>
        <v>1.2139143537735968</v>
      </c>
      <c r="BO96" s="112">
        <f t="shared" ca="1" si="212"/>
        <v>1.2139143537735968</v>
      </c>
      <c r="BP96" s="112">
        <f t="shared" ca="1" si="213"/>
        <v>1.2139143537735968</v>
      </c>
      <c r="BQ96" s="112">
        <f t="shared" ca="1" si="214"/>
        <v>1.3007160900223278</v>
      </c>
      <c r="BR96" s="112">
        <f t="shared" ca="1" si="215"/>
        <v>0</v>
      </c>
      <c r="BS96" s="112">
        <f t="shared" ca="1" si="216"/>
        <v>0</v>
      </c>
      <c r="BT96" s="112">
        <f t="shared" ca="1" si="217"/>
        <v>0</v>
      </c>
      <c r="BU96" s="112">
        <f t="shared" ca="1" si="218"/>
        <v>0</v>
      </c>
      <c r="BV96" s="112">
        <f t="shared" ca="1" si="219"/>
        <v>1.3056417257767687</v>
      </c>
      <c r="BW96" s="112">
        <f t="shared" ca="1" si="220"/>
        <v>2.0833025541913379</v>
      </c>
      <c r="BX96" s="112">
        <f t="shared" ca="1" si="221"/>
        <v>1.4696896875329859</v>
      </c>
      <c r="BY96" s="112">
        <f t="shared" ca="1" si="222"/>
        <v>2.4569580378620177E-51</v>
      </c>
      <c r="BZ96" s="112">
        <f t="shared" ca="1" si="223"/>
        <v>1.3180091409398877</v>
      </c>
      <c r="CA96" s="112">
        <f t="shared" ca="1" si="224"/>
        <v>-1.1303775532257039E-52</v>
      </c>
      <c r="CB96" s="112">
        <v>1</v>
      </c>
      <c r="CC96" s="112">
        <v>1</v>
      </c>
      <c r="CD96" s="112">
        <v>1</v>
      </c>
      <c r="CE96" s="112">
        <v>1</v>
      </c>
      <c r="CF96" s="112">
        <f t="shared" ca="1" si="225"/>
        <v>1.7995294506770843</v>
      </c>
      <c r="CG96" s="112">
        <f t="shared" ca="1" si="226"/>
        <v>1.2665098168923614</v>
      </c>
      <c r="CH96" s="255"/>
      <c r="CI96" s="150" t="str">
        <f t="shared" ca="1" si="178"/>
        <v>C0M100Y0K80</v>
      </c>
      <c r="CJ96" s="125">
        <f t="shared" ca="1" si="227"/>
        <v>0</v>
      </c>
      <c r="CK96" s="125">
        <f t="shared" ca="1" si="228"/>
        <v>0</v>
      </c>
      <c r="CL96" s="125">
        <f t="shared" ca="1" si="229"/>
        <v>0</v>
      </c>
      <c r="CM96" s="112">
        <f t="shared" ca="1" si="179"/>
        <v>0</v>
      </c>
      <c r="CN96" s="112">
        <f t="shared" ca="1" si="230"/>
        <v>0</v>
      </c>
      <c r="CO96" s="112">
        <f t="shared" ca="1" si="231"/>
        <v>0</v>
      </c>
      <c r="CP96" s="112">
        <f t="shared" ca="1" si="232"/>
        <v>0</v>
      </c>
      <c r="CQ96" s="112" t="str">
        <f t="shared" ca="1" si="233"/>
        <v/>
      </c>
      <c r="CR96" s="112" t="str">
        <f t="shared" ca="1" si="234"/>
        <v/>
      </c>
      <c r="CS96" s="112" t="str">
        <f t="shared" ca="1" si="235"/>
        <v/>
      </c>
      <c r="CT96" s="112" t="str">
        <f t="shared" ca="1" si="236"/>
        <v/>
      </c>
      <c r="CU96" s="112" t="str">
        <f t="shared" ca="1" si="237"/>
        <v/>
      </c>
      <c r="CV96" s="112" t="str">
        <f t="shared" ca="1" si="238"/>
        <v/>
      </c>
      <c r="CW96" s="112" t="str">
        <f t="shared" ca="1" si="162"/>
        <v/>
      </c>
      <c r="CX96" s="112" t="str">
        <f t="shared" ca="1" si="239"/>
        <v/>
      </c>
      <c r="CY96" s="112" t="str">
        <f t="shared" ca="1" si="165"/>
        <v/>
      </c>
      <c r="CZ96" s="112" t="str">
        <f t="shared" ca="1" si="240"/>
        <v/>
      </c>
      <c r="DA96" s="112" t="str">
        <f t="shared" ca="1" si="252"/>
        <v/>
      </c>
      <c r="DB96" s="112" t="str">
        <f t="shared" ca="1" si="260"/>
        <v/>
      </c>
      <c r="DC96" s="112" t="str">
        <f t="shared" ca="1" si="163"/>
        <v/>
      </c>
      <c r="DD96" s="112" t="str">
        <f t="shared" ca="1" si="254"/>
        <v/>
      </c>
      <c r="DE96" s="112" t="str">
        <f t="shared" ca="1" si="164"/>
        <v/>
      </c>
      <c r="DF96" s="112" t="str">
        <f t="shared" ca="1" si="244"/>
        <v/>
      </c>
      <c r="DG96" s="125" t="str">
        <f t="shared" ca="1" si="180"/>
        <v>-</v>
      </c>
      <c r="DH96" s="125">
        <f t="shared" ca="1" si="181"/>
        <v>100</v>
      </c>
      <c r="DI96" s="125" t="str">
        <f t="shared" ca="1" si="182"/>
        <v>-</v>
      </c>
      <c r="DJ96" s="125">
        <f t="shared" ca="1" si="183"/>
        <v>80</v>
      </c>
      <c r="DK96" s="112">
        <f t="shared" ca="1" si="184"/>
        <v>7.3928810270010872E-2</v>
      </c>
      <c r="DL96" s="112">
        <f t="shared" ca="1" si="185"/>
        <v>5.9004866497191361E-2</v>
      </c>
      <c r="DM96" s="112">
        <f t="shared" ca="1" si="186"/>
        <v>4.7722932210944327E-2</v>
      </c>
      <c r="DN96" s="112">
        <f t="shared" si="187"/>
        <v>7.3928810270010872E-2</v>
      </c>
      <c r="DO96" s="112">
        <f t="shared" si="188"/>
        <v>5.9004866497191361E-2</v>
      </c>
      <c r="DP96" s="112">
        <f t="shared" si="189"/>
        <v>4.7722932210944327E-2</v>
      </c>
      <c r="DQ96" s="112">
        <f t="shared" ca="1" si="258"/>
        <v>29.16</v>
      </c>
      <c r="DR96" s="112">
        <f t="shared" ca="1" si="255"/>
        <v>17.760000000000002</v>
      </c>
      <c r="DS96" s="112">
        <f t="shared" ca="1" si="256"/>
        <v>0.51</v>
      </c>
      <c r="DT96" s="112">
        <f t="shared" si="241"/>
        <v>29.16</v>
      </c>
      <c r="DU96" s="112">
        <f t="shared" si="242"/>
        <v>17.760000000000002</v>
      </c>
      <c r="DV96" s="112">
        <f t="shared" si="243"/>
        <v>0.51</v>
      </c>
      <c r="DW96" s="260"/>
      <c r="DX96" s="168"/>
      <c r="DY96" s="168"/>
      <c r="EC96" s="160"/>
      <c r="ED96" s="160"/>
      <c r="EE96" s="160"/>
    </row>
    <row r="97" spans="1:129" s="151" customFormat="1" ht="14" customHeight="1">
      <c r="A97" s="215"/>
      <c r="B97" s="153">
        <f t="shared" ca="1" si="166"/>
        <v>75</v>
      </c>
      <c r="C97" s="154">
        <f t="shared" ca="1" si="167"/>
        <v>66.122</v>
      </c>
      <c r="D97" s="155">
        <f t="shared" ca="1" si="168"/>
        <v>66.122</v>
      </c>
      <c r="E97" s="156" t="str">
        <f t="shared" ca="1" si="169"/>
        <v>-</v>
      </c>
      <c r="F97" s="186"/>
      <c r="G97" s="195"/>
      <c r="H97" s="248">
        <v>41.14</v>
      </c>
      <c r="I97" s="249">
        <v>0.56999999999999995</v>
      </c>
      <c r="J97" s="250">
        <v>-0.02</v>
      </c>
      <c r="K97" s="178"/>
      <c r="L97" s="204">
        <f t="shared" ca="1" si="170"/>
        <v>41.14</v>
      </c>
      <c r="M97" s="95">
        <f t="shared" ca="1" si="171"/>
        <v>0.56999999999999995</v>
      </c>
      <c r="N97" s="205">
        <f t="shared" ca="1" si="172"/>
        <v>-0.02</v>
      </c>
      <c r="O97" s="215"/>
      <c r="P97" s="157">
        <f t="shared" ca="1" si="173"/>
        <v>0</v>
      </c>
      <c r="Q97" s="215"/>
      <c r="R97" s="289">
        <f t="shared" ca="1" si="174"/>
        <v>0</v>
      </c>
      <c r="S97" s="290"/>
      <c r="T97" s="148"/>
      <c r="U97" s="291">
        <f t="shared" ca="1" si="175"/>
        <v>0</v>
      </c>
      <c r="V97" s="292"/>
      <c r="W97" s="23"/>
      <c r="X97" s="291">
        <f t="shared" ca="1" si="176"/>
        <v>0</v>
      </c>
      <c r="Y97" s="292"/>
      <c r="Z97" s="94"/>
      <c r="AA97" s="94"/>
      <c r="AB97" s="94"/>
      <c r="AC97" s="94"/>
      <c r="AD97" s="161"/>
      <c r="AE97" s="168"/>
      <c r="AF97" s="168"/>
      <c r="AG97" s="109">
        <f t="shared" ca="1" si="245"/>
        <v>36.840000000000003</v>
      </c>
      <c r="AH97" s="109">
        <f t="shared" ca="1" si="246"/>
        <v>-2.7</v>
      </c>
      <c r="AI97" s="109">
        <f t="shared" ca="1" si="247"/>
        <v>18.010000000000002</v>
      </c>
      <c r="AJ97" s="109">
        <f t="shared" ca="1" si="190"/>
        <v>18.211262998485306</v>
      </c>
      <c r="AK97" s="113">
        <f t="shared" ca="1" si="191"/>
        <v>98.526098563025542</v>
      </c>
      <c r="AL97" s="159"/>
      <c r="AM97" s="112">
        <f t="shared" si="248"/>
        <v>36.840000000000003</v>
      </c>
      <c r="AN97" s="112">
        <f t="shared" si="249"/>
        <v>-2.7</v>
      </c>
      <c r="AO97" s="112">
        <f t="shared" si="250"/>
        <v>18.010000000000002</v>
      </c>
      <c r="AP97" s="113">
        <f t="shared" si="192"/>
        <v>18.211262998485306</v>
      </c>
      <c r="AQ97" s="112">
        <f t="shared" si="257"/>
        <v>98.526098563025542</v>
      </c>
      <c r="AR97" s="255"/>
      <c r="AS97" s="112">
        <f t="shared" ca="1" si="193"/>
        <v>0</v>
      </c>
      <c r="AT97" s="112">
        <f t="shared" ca="1" si="194"/>
        <v>0</v>
      </c>
      <c r="AU97" s="112">
        <f t="shared" ca="1" si="195"/>
        <v>0</v>
      </c>
      <c r="AV97" s="112">
        <f t="shared" ca="1" si="196"/>
        <v>0</v>
      </c>
      <c r="AW97" s="112">
        <f t="shared" ca="1" si="259"/>
        <v>0</v>
      </c>
      <c r="AX97" s="112">
        <f t="shared" ca="1" si="177"/>
        <v>0</v>
      </c>
      <c r="AY97" s="112">
        <f t="shared" si="197"/>
        <v>0.91473470906409182</v>
      </c>
      <c r="AZ97" s="112">
        <f t="shared" si="198"/>
        <v>1.5760825323019034</v>
      </c>
      <c r="BA97" s="112">
        <f t="shared" si="199"/>
        <v>1.0064582037622611</v>
      </c>
      <c r="BB97" s="112">
        <f t="shared" si="200"/>
        <v>0.63547396661737876</v>
      </c>
      <c r="BC97" s="112">
        <f t="shared" si="201"/>
        <v>0.99147330172367543</v>
      </c>
      <c r="BD97" s="112">
        <f t="shared" ca="1" si="202"/>
        <v>36.840000000000003</v>
      </c>
      <c r="BE97" s="112">
        <f t="shared" si="203"/>
        <v>18.211262998485306</v>
      </c>
      <c r="BF97" s="112">
        <f t="shared" ca="1" si="204"/>
        <v>18.211262998485306</v>
      </c>
      <c r="BG97" s="112">
        <f t="shared" ca="1" si="205"/>
        <v>18.211262998485306</v>
      </c>
      <c r="BH97" s="112">
        <f t="shared" ca="1" si="206"/>
        <v>0.34334827507899379</v>
      </c>
      <c r="BI97" s="112">
        <f t="shared" ca="1" si="207"/>
        <v>-3.6270403427132836</v>
      </c>
      <c r="BJ97" s="112">
        <f t="shared" ca="1" si="208"/>
        <v>-3.6270403427132836</v>
      </c>
      <c r="BK97" s="112">
        <f t="shared" ca="1" si="209"/>
        <v>18.371595511758628</v>
      </c>
      <c r="BL97" s="112">
        <f t="shared" ca="1" si="210"/>
        <v>18.371595511758628</v>
      </c>
      <c r="BM97" s="112">
        <f t="shared" ca="1" si="211"/>
        <v>18.371595511758628</v>
      </c>
      <c r="BN97" s="112">
        <f t="shared" ca="1" si="261"/>
        <v>101.38650967455477</v>
      </c>
      <c r="BO97" s="112">
        <f t="shared" ca="1" si="212"/>
        <v>101.38650967455477</v>
      </c>
      <c r="BP97" s="112">
        <f t="shared" ca="1" si="213"/>
        <v>101.38650967455477</v>
      </c>
      <c r="BQ97" s="112">
        <f t="shared" ca="1" si="214"/>
        <v>0.74003016772637231</v>
      </c>
      <c r="BR97" s="112">
        <f t="shared" ca="1" si="215"/>
        <v>0</v>
      </c>
      <c r="BS97" s="112">
        <f t="shared" ca="1" si="216"/>
        <v>0</v>
      </c>
      <c r="BT97" s="112">
        <f t="shared" ca="1" si="217"/>
        <v>0</v>
      </c>
      <c r="BU97" s="112">
        <f t="shared" ca="1" si="218"/>
        <v>0</v>
      </c>
      <c r="BV97" s="112">
        <f t="shared" ca="1" si="219"/>
        <v>1.186902737360338</v>
      </c>
      <c r="BW97" s="112">
        <f t="shared" ca="1" si="220"/>
        <v>1.8267217980291384</v>
      </c>
      <c r="BX97" s="112">
        <f t="shared" ca="1" si="221"/>
        <v>1.2039330236195172</v>
      </c>
      <c r="BY97" s="112">
        <f t="shared" ca="1" si="222"/>
        <v>3.4084880462370109E-20</v>
      </c>
      <c r="BZ97" s="112">
        <f t="shared" ca="1" si="223"/>
        <v>0.64413124029885993</v>
      </c>
      <c r="CA97" s="112">
        <f t="shared" ca="1" si="224"/>
        <v>-7.6637883328393596E-22</v>
      </c>
      <c r="CB97" s="112">
        <v>1</v>
      </c>
      <c r="CC97" s="112">
        <v>1</v>
      </c>
      <c r="CD97" s="112">
        <v>1</v>
      </c>
      <c r="CE97" s="112">
        <v>1</v>
      </c>
      <c r="CF97" s="112">
        <f t="shared" ca="1" si="225"/>
        <v>1.8195068349318388</v>
      </c>
      <c r="CG97" s="112">
        <f t="shared" ca="1" si="226"/>
        <v>1.2731689449772796</v>
      </c>
      <c r="CH97" s="255"/>
      <c r="CI97" s="150" t="str">
        <f t="shared" ca="1" si="178"/>
        <v>C0M0Y100K80</v>
      </c>
      <c r="CJ97" s="125">
        <f t="shared" ca="1" si="227"/>
        <v>0</v>
      </c>
      <c r="CK97" s="125">
        <f t="shared" ca="1" si="228"/>
        <v>0</v>
      </c>
      <c r="CL97" s="125">
        <f t="shared" ca="1" si="229"/>
        <v>0</v>
      </c>
      <c r="CM97" s="112">
        <f t="shared" ca="1" si="179"/>
        <v>0</v>
      </c>
      <c r="CN97" s="112">
        <f t="shared" ca="1" si="230"/>
        <v>0</v>
      </c>
      <c r="CO97" s="112">
        <f t="shared" ca="1" si="231"/>
        <v>0</v>
      </c>
      <c r="CP97" s="112">
        <f t="shared" ca="1" si="232"/>
        <v>0</v>
      </c>
      <c r="CQ97" s="112" t="str">
        <f t="shared" ca="1" si="233"/>
        <v/>
      </c>
      <c r="CR97" s="112" t="str">
        <f t="shared" ca="1" si="234"/>
        <v/>
      </c>
      <c r="CS97" s="112" t="str">
        <f t="shared" ca="1" si="235"/>
        <v/>
      </c>
      <c r="CT97" s="112" t="str">
        <f t="shared" ca="1" si="236"/>
        <v/>
      </c>
      <c r="CU97" s="112" t="str">
        <f t="shared" ca="1" si="237"/>
        <v/>
      </c>
      <c r="CV97" s="112" t="str">
        <f t="shared" ca="1" si="238"/>
        <v/>
      </c>
      <c r="CW97" s="112" t="str">
        <f t="shared" ca="1" si="162"/>
        <v/>
      </c>
      <c r="CX97" s="112" t="str">
        <f t="shared" ca="1" si="239"/>
        <v/>
      </c>
      <c r="CY97" s="112" t="str">
        <f t="shared" ca="1" si="165"/>
        <v/>
      </c>
      <c r="CZ97" s="112" t="str">
        <f t="shared" ca="1" si="240"/>
        <v/>
      </c>
      <c r="DA97" s="112" t="str">
        <f t="shared" ca="1" si="252"/>
        <v/>
      </c>
      <c r="DB97" s="112" t="str">
        <f t="shared" ca="1" si="260"/>
        <v/>
      </c>
      <c r="DC97" s="112" t="str">
        <f t="shared" ca="1" si="163"/>
        <v/>
      </c>
      <c r="DD97" s="112" t="str">
        <f t="shared" ca="1" si="254"/>
        <v/>
      </c>
      <c r="DE97" s="112" t="str">
        <f t="shared" ca="1" si="164"/>
        <v/>
      </c>
      <c r="DF97" s="112" t="str">
        <f t="shared" ca="1" si="244"/>
        <v/>
      </c>
      <c r="DG97" s="125" t="str">
        <f t="shared" ca="1" si="180"/>
        <v>-</v>
      </c>
      <c r="DH97" s="125" t="str">
        <f t="shared" ca="1" si="181"/>
        <v>-</v>
      </c>
      <c r="DI97" s="125">
        <f t="shared" ca="1" si="182"/>
        <v>100</v>
      </c>
      <c r="DJ97" s="125">
        <f t="shared" ca="1" si="183"/>
        <v>80</v>
      </c>
      <c r="DK97" s="112">
        <f t="shared" ca="1" si="184"/>
        <v>8.7931417207505344E-2</v>
      </c>
      <c r="DL97" s="112">
        <f t="shared" ca="1" si="185"/>
        <v>9.4517986018286954E-2</v>
      </c>
      <c r="DM97" s="112">
        <f t="shared" ca="1" si="186"/>
        <v>4.0266758394214064E-2</v>
      </c>
      <c r="DN97" s="112">
        <f t="shared" si="187"/>
        <v>8.7931417207505344E-2</v>
      </c>
      <c r="DO97" s="112">
        <f t="shared" si="188"/>
        <v>9.4517986018286954E-2</v>
      </c>
      <c r="DP97" s="112">
        <f t="shared" si="189"/>
        <v>4.0266758394214064E-2</v>
      </c>
      <c r="DQ97" s="112">
        <f t="shared" ca="1" si="258"/>
        <v>36.840000000000003</v>
      </c>
      <c r="DR97" s="112">
        <f t="shared" ca="1" si="255"/>
        <v>-2.7</v>
      </c>
      <c r="DS97" s="112">
        <f t="shared" ca="1" si="256"/>
        <v>18.010000000000002</v>
      </c>
      <c r="DT97" s="112">
        <f t="shared" si="241"/>
        <v>36.840000000000003</v>
      </c>
      <c r="DU97" s="112">
        <f t="shared" si="242"/>
        <v>-2.7</v>
      </c>
      <c r="DV97" s="112">
        <f t="shared" si="243"/>
        <v>18.010000000000002</v>
      </c>
      <c r="DW97" s="260"/>
      <c r="DX97" s="168"/>
      <c r="DY97" s="168"/>
    </row>
    <row r="98" spans="1:129" s="151" customFormat="1" ht="14" customHeight="1">
      <c r="A98" s="215"/>
      <c r="B98" s="153">
        <f t="shared" ca="1" si="166"/>
        <v>20</v>
      </c>
      <c r="C98" s="154">
        <f t="shared" ca="1" si="167"/>
        <v>40</v>
      </c>
      <c r="D98" s="155">
        <f t="shared" ca="1" si="168"/>
        <v>70</v>
      </c>
      <c r="E98" s="156" t="str">
        <f t="shared" ca="1" si="169"/>
        <v>-</v>
      </c>
      <c r="F98" s="186"/>
      <c r="G98" s="195"/>
      <c r="H98" s="248">
        <v>60.65</v>
      </c>
      <c r="I98" s="249">
        <v>13.25</v>
      </c>
      <c r="J98" s="250">
        <v>29.21</v>
      </c>
      <c r="K98" s="178"/>
      <c r="L98" s="204">
        <f t="shared" ca="1" si="170"/>
        <v>60.65</v>
      </c>
      <c r="M98" s="95">
        <f t="shared" ca="1" si="171"/>
        <v>13.25</v>
      </c>
      <c r="N98" s="205">
        <f t="shared" ca="1" si="172"/>
        <v>29.21</v>
      </c>
      <c r="O98" s="215"/>
      <c r="P98" s="157">
        <f t="shared" ca="1" si="173"/>
        <v>0</v>
      </c>
      <c r="Q98" s="215"/>
      <c r="R98" s="289">
        <f t="shared" ca="1" si="174"/>
        <v>0</v>
      </c>
      <c r="S98" s="290"/>
      <c r="T98" s="148"/>
      <c r="U98" s="291">
        <f t="shared" ca="1" si="175"/>
        <v>0</v>
      </c>
      <c r="V98" s="292"/>
      <c r="W98" s="23"/>
      <c r="X98" s="291">
        <f t="shared" ca="1" si="176"/>
        <v>0</v>
      </c>
      <c r="Y98" s="292"/>
      <c r="Z98" s="94"/>
      <c r="AA98" s="94"/>
      <c r="AB98" s="94"/>
      <c r="AC98" s="94"/>
      <c r="AD98" s="94"/>
      <c r="AE98" s="168"/>
      <c r="AF98" s="168"/>
      <c r="AG98" s="170"/>
      <c r="AH98" s="170"/>
      <c r="AI98" s="170"/>
      <c r="AJ98" s="170"/>
      <c r="AK98" s="159"/>
      <c r="AL98" s="159"/>
      <c r="AM98" s="159"/>
      <c r="AN98" s="159"/>
      <c r="AO98" s="159"/>
      <c r="AP98" s="159"/>
      <c r="AQ98" s="159"/>
      <c r="AR98" s="255"/>
      <c r="AS98" s="255"/>
      <c r="AT98" s="255"/>
      <c r="AU98" s="255"/>
      <c r="AV98" s="255"/>
      <c r="AW98" s="255"/>
      <c r="AX98" s="255"/>
      <c r="AY98" s="255"/>
      <c r="AZ98" s="255"/>
      <c r="BA98" s="255"/>
      <c r="BB98" s="255"/>
      <c r="BC98" s="255"/>
      <c r="BD98" s="255"/>
      <c r="BE98" s="112"/>
      <c r="BF98" s="112"/>
      <c r="BG98" s="112"/>
      <c r="BH98" s="255"/>
      <c r="BI98" s="255"/>
      <c r="BJ98" s="255"/>
      <c r="BK98" s="255"/>
      <c r="BL98" s="255"/>
      <c r="BM98" s="255"/>
      <c r="BN98" s="255"/>
      <c r="BO98" s="255"/>
      <c r="BP98" s="255"/>
      <c r="BQ98" s="255"/>
      <c r="BR98" s="255"/>
      <c r="BS98" s="255"/>
      <c r="BT98" s="255"/>
      <c r="BU98" s="255"/>
      <c r="BV98" s="255"/>
      <c r="BW98" s="255"/>
      <c r="BX98" s="255"/>
      <c r="BY98" s="255"/>
      <c r="BZ98" s="255"/>
      <c r="CA98" s="255"/>
      <c r="CB98" s="255"/>
      <c r="CC98" s="255"/>
      <c r="CD98" s="255"/>
      <c r="CE98" s="255"/>
      <c r="CF98" s="255"/>
      <c r="CG98" s="255"/>
      <c r="CH98" s="255"/>
      <c r="CI98" s="255"/>
      <c r="CJ98" s="255"/>
      <c r="CK98" s="255"/>
      <c r="CL98" s="112"/>
      <c r="CM98" s="112"/>
      <c r="CN98" s="112"/>
      <c r="CO98" s="112"/>
      <c r="CP98" s="112"/>
      <c r="CQ98" s="112"/>
      <c r="CR98" s="112"/>
      <c r="CS98" s="112"/>
      <c r="CT98" s="112"/>
      <c r="CU98" s="112"/>
      <c r="CV98" s="112"/>
      <c r="CW98" s="112"/>
      <c r="CX98" s="112"/>
      <c r="CY98" s="112"/>
      <c r="CZ98" s="112"/>
      <c r="DA98" s="112"/>
      <c r="DB98" s="112"/>
      <c r="DC98" s="112"/>
      <c r="DD98" s="112"/>
      <c r="DE98" s="112"/>
      <c r="DF98" s="112"/>
      <c r="DG98" s="112"/>
      <c r="DH98" s="112"/>
      <c r="DI98" s="112"/>
      <c r="DJ98" s="112"/>
      <c r="DK98" s="255"/>
      <c r="DL98" s="255"/>
      <c r="DM98" s="255"/>
      <c r="DN98" s="255"/>
      <c r="DO98" s="255"/>
      <c r="DP98" s="255"/>
      <c r="DQ98" s="255"/>
      <c r="DR98" s="255"/>
      <c r="DS98" s="255"/>
      <c r="DT98" s="255"/>
      <c r="DU98" s="255"/>
      <c r="DV98" s="255"/>
      <c r="DW98" s="260"/>
      <c r="DX98" s="168"/>
      <c r="DY98" s="168"/>
    </row>
    <row r="99" spans="1:129" s="151" customFormat="1" ht="14" customHeight="1">
      <c r="A99" s="215"/>
      <c r="B99" s="153" t="str">
        <f t="shared" ca="1" si="166"/>
        <v>-</v>
      </c>
      <c r="C99" s="154" t="str">
        <f t="shared" ca="1" si="167"/>
        <v>-</v>
      </c>
      <c r="D99" s="155" t="str">
        <f t="shared" ca="1" si="168"/>
        <v>-</v>
      </c>
      <c r="E99" s="156">
        <f t="shared" ca="1" si="169"/>
        <v>90</v>
      </c>
      <c r="F99" s="186"/>
      <c r="G99" s="195"/>
      <c r="H99" s="248">
        <v>33.65</v>
      </c>
      <c r="I99" s="249">
        <v>0.82</v>
      </c>
      <c r="J99" s="250">
        <v>1.74</v>
      </c>
      <c r="K99" s="178"/>
      <c r="L99" s="204">
        <f t="shared" ca="1" si="170"/>
        <v>33.65</v>
      </c>
      <c r="M99" s="95">
        <f t="shared" ca="1" si="171"/>
        <v>0.82</v>
      </c>
      <c r="N99" s="205">
        <f t="shared" ca="1" si="172"/>
        <v>1.74</v>
      </c>
      <c r="O99" s="215"/>
      <c r="P99" s="157">
        <f t="shared" ca="1" si="173"/>
        <v>0</v>
      </c>
      <c r="Q99" s="215"/>
      <c r="R99" s="289">
        <f t="shared" ca="1" si="174"/>
        <v>0</v>
      </c>
      <c r="S99" s="290"/>
      <c r="T99" s="148"/>
      <c r="U99" s="291">
        <f t="shared" ca="1" si="175"/>
        <v>0</v>
      </c>
      <c r="V99" s="292"/>
      <c r="W99" s="23"/>
      <c r="X99" s="291">
        <f t="shared" ca="1" si="176"/>
        <v>0</v>
      </c>
      <c r="Y99" s="292"/>
      <c r="Z99" s="94"/>
      <c r="AA99" s="94"/>
      <c r="AB99" s="94"/>
      <c r="AC99" s="94"/>
      <c r="AD99" s="94"/>
      <c r="AE99" s="168"/>
      <c r="AF99" s="168"/>
      <c r="AG99" s="170"/>
      <c r="AH99" s="170"/>
      <c r="AI99" s="170"/>
      <c r="AJ99" s="170"/>
      <c r="AK99" s="159"/>
      <c r="AL99" s="159"/>
      <c r="AM99" s="159"/>
      <c r="AN99" s="159"/>
      <c r="AO99" s="159"/>
      <c r="AP99" s="159"/>
      <c r="AQ99" s="159"/>
      <c r="AR99" s="255"/>
      <c r="AS99" s="255"/>
      <c r="AT99" s="255"/>
      <c r="AU99" s="255"/>
      <c r="AV99" s="255"/>
      <c r="AW99" s="255"/>
      <c r="AX99" s="255"/>
      <c r="AY99" s="255"/>
      <c r="AZ99" s="255"/>
      <c r="BA99" s="255"/>
      <c r="BB99" s="255"/>
      <c r="BC99" s="255"/>
      <c r="BD99" s="255"/>
      <c r="BE99" s="112"/>
      <c r="BF99" s="112"/>
      <c r="BG99" s="112"/>
      <c r="BH99" s="255"/>
      <c r="BI99" s="255"/>
      <c r="BJ99" s="255"/>
      <c r="BK99" s="255"/>
      <c r="BL99" s="255"/>
      <c r="BM99" s="255"/>
      <c r="BN99" s="255"/>
      <c r="BO99" s="255"/>
      <c r="BP99" s="255"/>
      <c r="BQ99" s="255"/>
      <c r="BR99" s="255"/>
      <c r="BS99" s="255"/>
      <c r="BT99" s="255"/>
      <c r="BU99" s="255"/>
      <c r="BV99" s="255"/>
      <c r="BW99" s="255"/>
      <c r="BX99" s="255"/>
      <c r="BY99" s="255"/>
      <c r="BZ99" s="255"/>
      <c r="CA99" s="255"/>
      <c r="CB99" s="255"/>
      <c r="CC99" s="255"/>
      <c r="CD99" s="255"/>
      <c r="CE99" s="255"/>
      <c r="CF99" s="255"/>
      <c r="CG99" s="255"/>
      <c r="CH99" s="255"/>
      <c r="CI99" s="255"/>
      <c r="CJ99" s="255"/>
      <c r="CK99" s="112"/>
      <c r="CL99" s="112"/>
      <c r="CM99" s="112"/>
      <c r="CN99" s="112"/>
      <c r="CO99" s="112"/>
      <c r="CP99" s="112"/>
      <c r="CQ99" s="112"/>
      <c r="CR99" s="112"/>
      <c r="CS99" s="112"/>
      <c r="CT99" s="112"/>
      <c r="CU99" s="112"/>
      <c r="CV99" s="112"/>
      <c r="CW99" s="112"/>
      <c r="CX99" s="112"/>
      <c r="CY99" s="112"/>
      <c r="CZ99" s="112"/>
      <c r="DA99" s="112"/>
      <c r="DB99" s="112"/>
      <c r="DC99" s="112"/>
      <c r="DD99" s="112"/>
      <c r="DE99" s="112"/>
      <c r="DF99" s="112"/>
      <c r="DG99" s="112"/>
      <c r="DH99" s="112"/>
      <c r="DI99" s="112"/>
      <c r="DJ99" s="112"/>
      <c r="DK99" s="255"/>
      <c r="DL99" s="255"/>
      <c r="DM99" s="255"/>
      <c r="DN99" s="255"/>
      <c r="DO99" s="255"/>
      <c r="DP99" s="255"/>
      <c r="DQ99" s="255"/>
      <c r="DR99" s="255"/>
      <c r="DS99" s="255"/>
      <c r="DT99" s="255"/>
      <c r="DU99" s="255"/>
      <c r="DV99" s="255"/>
      <c r="DW99" s="260"/>
      <c r="DX99" s="168"/>
      <c r="DY99" s="168"/>
    </row>
    <row r="100" spans="1:129" s="151" customFormat="1" ht="14" customHeight="1">
      <c r="A100" s="215"/>
      <c r="B100" s="153">
        <f t="shared" ref="B100:B119" ca="1" si="262">IFERROR(IF(INDEX(INDIRECT("CMYK_"&amp;VLOOKUP($B$31,$AI$2:$AJ$4,2,FALSE)),$AJ169,AG$103)=0,"-",INDEX(INDIRECT("CMYK_"&amp;VLOOKUP($B$31,$AI$2:$AJ$4,2,FALSE)),$AJ169,AG$103)),"-")</f>
        <v>90</v>
      </c>
      <c r="C100" s="154">
        <f t="shared" ref="C100:C119" ca="1" si="263">IFERROR(IF(INDEX(INDIRECT("CMYK_"&amp;VLOOKUP($B$31,$AI$2:$AJ$4,2,FALSE)),$AJ169,AH$103)=0,"-",INDEX(INDIRECT("CMYK_"&amp;VLOOKUP($B$31,$AI$2:$AJ$4,2,FALSE)),$AJ169,AH$103)),"-")</f>
        <v>85.341999999999999</v>
      </c>
      <c r="D100" s="155">
        <f t="shared" ref="D100:D119" ca="1" si="264">IFERROR(IF(INDEX(INDIRECT("CMYK_"&amp;VLOOKUP($B$31,$AI$2:$AJ$4,2,FALSE)),$AJ169,AI$103)=0,"-",INDEX(INDIRECT("CMYK_"&amp;VLOOKUP($B$31,$AI$2:$AJ$4,2,FALSE)),$AJ169,AI$103)),"-")</f>
        <v>85.341999999999999</v>
      </c>
      <c r="E100" s="156" t="str">
        <f t="shared" ref="E100:E119" ca="1" si="265">IFERROR(IF(INDEX(INDIRECT("CMYK_"&amp;VLOOKUP($B$31,$AI$2:$AJ$4,2,FALSE)),$AJ169,AJ$103)=0,"-",INDEX(INDIRECT("CMYK_"&amp;VLOOKUP($B$31,$AI$2:$AJ$4,2,FALSE)),$AJ169,AJ$103)),"-")</f>
        <v>-</v>
      </c>
      <c r="F100" s="186"/>
      <c r="G100" s="195"/>
      <c r="H100" s="248">
        <v>34.979999999999997</v>
      </c>
      <c r="I100" s="249">
        <v>0.79</v>
      </c>
      <c r="J100" s="250">
        <v>-0.4</v>
      </c>
      <c r="K100" s="178"/>
      <c r="L100" s="204">
        <f t="shared" ref="L100:L119" ca="1" si="266">IFERROR(IF(OR($H$31="M1 - SCCA OFF",$H$31="M0 - SCCA OFF"),AG169,BE169),"")</f>
        <v>34.979999999999997</v>
      </c>
      <c r="M100" s="95">
        <f t="shared" ref="M100:M119" ca="1" si="267">IFERROR(IF(OR($H$31="M1 - SCCA OFF",$H$31="M0 - SCCA OFF"),AH169,BF169),"")</f>
        <v>0.79</v>
      </c>
      <c r="N100" s="205">
        <f t="shared" ref="N100:N119" ca="1" si="268">IFERROR(IF(OR($H$31="M1 - SCCA OFF",$H$31="M0 - SCCA OFF"),AI169,BG169),"")</f>
        <v>-0.4</v>
      </c>
      <c r="O100" s="215"/>
      <c r="P100" s="157">
        <f t="shared" ref="P100:P119" ca="1" si="269">IFERROR(CP78,"")</f>
        <v>0</v>
      </c>
      <c r="Q100" s="215"/>
      <c r="R100" s="289">
        <f t="shared" ref="R100:R119" ca="1" si="270">IFERROR(CO78,"")</f>
        <v>0</v>
      </c>
      <c r="S100" s="290"/>
      <c r="T100" s="148"/>
      <c r="U100" s="291">
        <f t="shared" ref="U100:U119" ca="1" si="271">IFERROR(CN78,"")</f>
        <v>0</v>
      </c>
      <c r="V100" s="292"/>
      <c r="W100" s="23"/>
      <c r="X100" s="291">
        <f t="shared" ref="X100:X119" ca="1" si="272">IFERROR(CM78,"")</f>
        <v>0</v>
      </c>
      <c r="Y100" s="292"/>
      <c r="Z100" s="94"/>
      <c r="AA100" s="94"/>
      <c r="AB100" s="94"/>
      <c r="AC100" s="94"/>
      <c r="AD100" s="94"/>
      <c r="AE100" s="168"/>
      <c r="AF100" s="168"/>
      <c r="AG100" s="170"/>
      <c r="AH100" s="170"/>
      <c r="AI100" s="170"/>
      <c r="AJ100" s="170"/>
      <c r="AK100" s="159"/>
      <c r="AL100" s="159"/>
      <c r="AM100" s="159"/>
      <c r="AN100" s="159"/>
      <c r="AO100" s="159"/>
      <c r="AP100" s="159"/>
      <c r="AQ100" s="159"/>
      <c r="AR100" s="255"/>
      <c r="AS100" s="255"/>
      <c r="AT100" s="255"/>
      <c r="AU100" s="255"/>
      <c r="AV100" s="255"/>
      <c r="AW100" s="255"/>
      <c r="AX100" s="255"/>
      <c r="AY100" s="255"/>
      <c r="AZ100" s="255"/>
      <c r="BA100" s="255"/>
      <c r="BB100" s="255"/>
      <c r="BC100" s="255"/>
      <c r="BD100" s="255"/>
      <c r="BE100" s="112"/>
      <c r="BF100" s="112"/>
      <c r="BG100" s="112"/>
      <c r="BH100" s="255"/>
      <c r="BI100" s="255"/>
      <c r="BJ100" s="255"/>
      <c r="BK100" s="255"/>
      <c r="BL100" s="255"/>
      <c r="BM100" s="255"/>
      <c r="BN100" s="255"/>
      <c r="BO100" s="255"/>
      <c r="BP100" s="255"/>
      <c r="BQ100" s="255"/>
      <c r="BR100" s="255"/>
      <c r="BS100" s="255"/>
      <c r="BT100" s="255"/>
      <c r="BU100" s="255"/>
      <c r="BV100" s="255"/>
      <c r="BW100" s="255"/>
      <c r="BX100" s="255"/>
      <c r="BY100" s="255"/>
      <c r="BZ100" s="255"/>
      <c r="CA100" s="255"/>
      <c r="CB100" s="255"/>
      <c r="CC100" s="255"/>
      <c r="CD100" s="255"/>
      <c r="CE100" s="255"/>
      <c r="CF100" s="255"/>
      <c r="CG100" s="255"/>
      <c r="CH100" s="255"/>
      <c r="CI100" s="255"/>
      <c r="CJ100" s="255"/>
      <c r="CK100" s="112"/>
      <c r="CL100" s="112"/>
      <c r="CM100" s="112"/>
      <c r="CN100" s="112"/>
      <c r="CO100" s="112"/>
      <c r="CP100" s="112"/>
      <c r="CQ100" s="112"/>
      <c r="CR100" s="112"/>
      <c r="CS100" s="112"/>
      <c r="CT100" s="112"/>
      <c r="CU100" s="112"/>
      <c r="CV100" s="112"/>
      <c r="CW100" s="112"/>
      <c r="CX100" s="112"/>
      <c r="CY100" s="112"/>
      <c r="CZ100" s="112"/>
      <c r="DA100" s="112"/>
      <c r="DB100" s="112"/>
      <c r="DC100" s="112"/>
      <c r="DD100" s="112"/>
      <c r="DE100" s="112"/>
      <c r="DF100" s="112"/>
      <c r="DG100" s="112"/>
      <c r="DH100" s="112"/>
      <c r="DI100" s="112"/>
      <c r="DJ100" s="112"/>
      <c r="DK100" s="255"/>
      <c r="DL100" s="255"/>
      <c r="DM100" s="255"/>
      <c r="DN100" s="255"/>
      <c r="DO100" s="255"/>
      <c r="DP100" s="255"/>
      <c r="DQ100" s="255"/>
      <c r="DR100" s="255"/>
      <c r="DS100" s="255"/>
      <c r="DT100" s="255"/>
      <c r="DU100" s="255"/>
      <c r="DV100" s="255"/>
      <c r="DW100" s="260"/>
      <c r="DX100" s="168"/>
      <c r="DY100" s="168"/>
    </row>
    <row r="101" spans="1:129" s="151" customFormat="1" ht="14" customHeight="1">
      <c r="A101" s="215"/>
      <c r="B101" s="153">
        <f t="shared" ca="1" si="262"/>
        <v>20</v>
      </c>
      <c r="C101" s="154">
        <f t="shared" ca="1" si="263"/>
        <v>70</v>
      </c>
      <c r="D101" s="155">
        <f t="shared" ca="1" si="264"/>
        <v>70</v>
      </c>
      <c r="E101" s="156" t="str">
        <f t="shared" ca="1" si="265"/>
        <v>-</v>
      </c>
      <c r="F101" s="186"/>
      <c r="G101" s="195"/>
      <c r="H101" s="248">
        <v>51.58</v>
      </c>
      <c r="I101" s="249">
        <v>31.31</v>
      </c>
      <c r="J101" s="250">
        <v>19.809999999999999</v>
      </c>
      <c r="K101" s="178"/>
      <c r="L101" s="204">
        <f t="shared" ca="1" si="266"/>
        <v>51.58</v>
      </c>
      <c r="M101" s="95">
        <f t="shared" ca="1" si="267"/>
        <v>31.31</v>
      </c>
      <c r="N101" s="205">
        <f t="shared" ca="1" si="268"/>
        <v>19.809999999999999</v>
      </c>
      <c r="O101" s="215"/>
      <c r="P101" s="157">
        <f t="shared" ca="1" si="269"/>
        <v>0</v>
      </c>
      <c r="Q101" s="215"/>
      <c r="R101" s="289">
        <f t="shared" ca="1" si="270"/>
        <v>0</v>
      </c>
      <c r="S101" s="290"/>
      <c r="T101" s="148"/>
      <c r="U101" s="291">
        <f t="shared" ca="1" si="271"/>
        <v>0</v>
      </c>
      <c r="V101" s="292"/>
      <c r="W101" s="23"/>
      <c r="X101" s="291">
        <f t="shared" ca="1" si="272"/>
        <v>0</v>
      </c>
      <c r="Y101" s="292"/>
      <c r="Z101" s="94"/>
      <c r="AA101" s="94"/>
      <c r="AB101" s="94"/>
      <c r="AC101" s="94"/>
      <c r="AD101" s="94"/>
      <c r="AE101" s="168"/>
      <c r="AF101" s="168"/>
      <c r="AG101" s="109"/>
      <c r="AH101" s="109"/>
      <c r="AI101" s="109"/>
      <c r="AJ101" s="109"/>
      <c r="AK101" s="170"/>
      <c r="AL101" s="170"/>
      <c r="AM101" s="170"/>
      <c r="AN101" s="170"/>
      <c r="AO101" s="170"/>
      <c r="AP101" s="170"/>
      <c r="AQ101" s="170"/>
      <c r="AR101" s="170"/>
      <c r="AS101" s="170"/>
      <c r="AT101" s="170"/>
      <c r="AU101" s="170"/>
      <c r="AV101" s="170"/>
      <c r="AW101" s="170"/>
      <c r="AX101" s="170"/>
      <c r="AY101" s="170"/>
      <c r="AZ101" s="255"/>
      <c r="BA101" s="255"/>
      <c r="BB101" s="255"/>
      <c r="BC101" s="255"/>
      <c r="BD101" s="255"/>
      <c r="BE101" s="112"/>
      <c r="BF101" s="112"/>
      <c r="BG101" s="112"/>
      <c r="BH101" s="255"/>
      <c r="BI101" s="255"/>
      <c r="BJ101" s="255"/>
      <c r="BK101" s="159"/>
      <c r="BL101" s="159"/>
      <c r="BM101" s="159"/>
      <c r="BN101" s="159"/>
      <c r="BO101" s="159"/>
      <c r="BP101" s="255"/>
      <c r="BQ101" s="255"/>
      <c r="BR101" s="255"/>
      <c r="BS101" s="255"/>
      <c r="BT101" s="255"/>
      <c r="BU101" s="255"/>
      <c r="BV101" s="255"/>
      <c r="BW101" s="255"/>
      <c r="BX101" s="255"/>
      <c r="BY101" s="255"/>
      <c r="BZ101" s="255"/>
      <c r="CA101" s="255"/>
      <c r="CB101" s="255"/>
      <c r="CC101" s="255"/>
      <c r="CD101" s="255"/>
      <c r="CE101" s="255"/>
      <c r="CF101" s="255"/>
      <c r="CG101" s="255"/>
      <c r="CH101" s="255"/>
      <c r="CI101" s="255"/>
      <c r="CJ101" s="255"/>
      <c r="CK101" s="255"/>
      <c r="CL101" s="255"/>
      <c r="CM101" s="255"/>
      <c r="CN101" s="255"/>
      <c r="CO101" s="255"/>
      <c r="CP101" s="255"/>
      <c r="CQ101" s="255"/>
      <c r="CR101" s="255"/>
      <c r="CS101" s="255"/>
      <c r="CT101" s="255"/>
      <c r="CU101" s="255"/>
      <c r="CV101" s="255"/>
      <c r="CW101" s="255"/>
      <c r="CX101" s="255"/>
      <c r="CY101" s="255"/>
      <c r="CZ101" s="255"/>
      <c r="DA101" s="255"/>
      <c r="DB101" s="255"/>
      <c r="DC101" s="255"/>
      <c r="DD101" s="255"/>
      <c r="DE101" s="255"/>
      <c r="DF101" s="255"/>
      <c r="DG101" s="112"/>
      <c r="DH101" s="112"/>
      <c r="DI101" s="112"/>
      <c r="DJ101" s="112"/>
      <c r="DK101" s="255"/>
      <c r="DL101" s="255"/>
      <c r="DM101" s="255"/>
      <c r="DN101" s="255"/>
      <c r="DO101" s="255"/>
      <c r="DP101" s="255"/>
      <c r="DQ101" s="255"/>
      <c r="DR101" s="255"/>
      <c r="DS101" s="255"/>
      <c r="DT101" s="255"/>
      <c r="DU101" s="255"/>
      <c r="DV101" s="255"/>
      <c r="DW101" s="260"/>
      <c r="DX101" s="168"/>
      <c r="DY101" s="168"/>
    </row>
    <row r="102" spans="1:129" s="151" customFormat="1" ht="14" customHeight="1">
      <c r="A102" s="215"/>
      <c r="B102" s="153" t="str">
        <f t="shared" ca="1" si="262"/>
        <v>-</v>
      </c>
      <c r="C102" s="154" t="str">
        <f t="shared" ca="1" si="263"/>
        <v>-</v>
      </c>
      <c r="D102" s="155" t="str">
        <f t="shared" ca="1" si="264"/>
        <v>-</v>
      </c>
      <c r="E102" s="156">
        <f t="shared" ca="1" si="265"/>
        <v>100</v>
      </c>
      <c r="F102" s="186"/>
      <c r="G102" s="195"/>
      <c r="H102" s="248">
        <v>30</v>
      </c>
      <c r="I102" s="249">
        <v>1</v>
      </c>
      <c r="J102" s="250">
        <v>2</v>
      </c>
      <c r="K102" s="178"/>
      <c r="L102" s="204">
        <f t="shared" ca="1" si="266"/>
        <v>30</v>
      </c>
      <c r="M102" s="95">
        <f t="shared" ca="1" si="267"/>
        <v>1</v>
      </c>
      <c r="N102" s="205">
        <f t="shared" ca="1" si="268"/>
        <v>2</v>
      </c>
      <c r="O102" s="215"/>
      <c r="P102" s="157">
        <f t="shared" ca="1" si="269"/>
        <v>0</v>
      </c>
      <c r="Q102" s="215"/>
      <c r="R102" s="289">
        <f t="shared" ca="1" si="270"/>
        <v>0</v>
      </c>
      <c r="S102" s="290"/>
      <c r="T102" s="148"/>
      <c r="U102" s="291">
        <f t="shared" ca="1" si="271"/>
        <v>0</v>
      </c>
      <c r="V102" s="292"/>
      <c r="W102" s="23"/>
      <c r="X102" s="291">
        <f t="shared" ca="1" si="272"/>
        <v>0</v>
      </c>
      <c r="Y102" s="292"/>
      <c r="Z102" s="94"/>
      <c r="AA102" s="94"/>
      <c r="AB102" s="94"/>
      <c r="AC102" s="94"/>
      <c r="AD102" s="94"/>
      <c r="AE102" s="168"/>
      <c r="AF102" s="168"/>
      <c r="AG102" s="171" t="s">
        <v>144</v>
      </c>
      <c r="AH102" s="170"/>
      <c r="AI102" s="170"/>
      <c r="AJ102" s="170"/>
      <c r="AK102" s="171" t="s">
        <v>137</v>
      </c>
      <c r="AL102" s="170"/>
      <c r="AM102" s="170"/>
      <c r="AN102" s="170"/>
      <c r="AO102" s="170"/>
      <c r="AP102" s="170"/>
      <c r="AQ102" s="170"/>
      <c r="AR102" s="170"/>
      <c r="AS102" s="170"/>
      <c r="AT102" s="159"/>
      <c r="AU102" s="171" t="s">
        <v>139</v>
      </c>
      <c r="AV102" s="159"/>
      <c r="AW102" s="255"/>
      <c r="AX102" s="255"/>
      <c r="AY102" s="255"/>
      <c r="AZ102" s="255"/>
      <c r="BA102" s="255"/>
      <c r="BB102" s="255"/>
      <c r="BC102" s="255"/>
      <c r="BD102" s="255"/>
      <c r="BE102" s="129" t="s">
        <v>140</v>
      </c>
      <c r="BF102" s="112"/>
      <c r="BG102" s="112"/>
      <c r="BH102" s="159"/>
      <c r="BI102" s="171" t="s">
        <v>142</v>
      </c>
      <c r="BJ102" s="255"/>
      <c r="BK102" s="255"/>
      <c r="BL102" s="255"/>
      <c r="BM102" s="171" t="s">
        <v>143</v>
      </c>
      <c r="BN102" s="255"/>
      <c r="BO102" s="255"/>
      <c r="BP102" s="255"/>
      <c r="BQ102" s="255"/>
      <c r="BR102" s="255"/>
      <c r="BS102" s="255"/>
      <c r="BT102" s="159"/>
      <c r="BU102" s="159"/>
      <c r="BV102" s="159"/>
      <c r="BW102" s="171" t="s">
        <v>138</v>
      </c>
      <c r="BX102" s="255"/>
      <c r="BY102" s="255"/>
      <c r="BZ102" s="255"/>
      <c r="CA102" s="256"/>
      <c r="CB102" s="170"/>
      <c r="CC102" s="159"/>
      <c r="CD102" s="159"/>
      <c r="CE102" s="159"/>
      <c r="CF102" s="159"/>
      <c r="CG102" s="255"/>
      <c r="CH102" s="255"/>
      <c r="CI102" s="255"/>
      <c r="CJ102" s="255"/>
      <c r="CK102" s="255"/>
      <c r="CL102" s="255"/>
      <c r="CM102" s="255"/>
      <c r="CN102" s="255"/>
      <c r="CO102" s="255"/>
      <c r="CP102" s="255"/>
      <c r="CQ102" s="255"/>
      <c r="CR102" s="255"/>
      <c r="CS102" s="255"/>
      <c r="CT102" s="255"/>
      <c r="CU102" s="255"/>
      <c r="CV102" s="255"/>
      <c r="CW102" s="255"/>
      <c r="CX102" s="255"/>
      <c r="CY102" s="255"/>
      <c r="CZ102" s="255"/>
      <c r="DA102" s="255"/>
      <c r="DB102" s="255"/>
      <c r="DC102" s="255"/>
      <c r="DD102" s="255"/>
      <c r="DE102" s="255"/>
      <c r="DF102" s="255"/>
      <c r="DG102" s="112"/>
      <c r="DH102" s="112"/>
      <c r="DI102" s="112"/>
      <c r="DJ102" s="112"/>
      <c r="DK102" s="255"/>
      <c r="DL102" s="255"/>
      <c r="DM102" s="255"/>
      <c r="DN102" s="255"/>
      <c r="DO102" s="255"/>
      <c r="DP102" s="255"/>
      <c r="DQ102" s="255"/>
      <c r="DR102" s="255"/>
      <c r="DS102" s="255"/>
      <c r="DT102" s="255"/>
      <c r="DU102" s="255"/>
      <c r="DV102" s="255"/>
      <c r="DW102" s="260"/>
      <c r="DX102" s="168"/>
      <c r="DY102" s="168"/>
    </row>
    <row r="103" spans="1:129" s="151" customFormat="1" ht="14" customHeight="1">
      <c r="A103" s="215"/>
      <c r="B103" s="153">
        <f t="shared" ca="1" si="262"/>
        <v>100</v>
      </c>
      <c r="C103" s="154">
        <f t="shared" ca="1" si="263"/>
        <v>100</v>
      </c>
      <c r="D103" s="155">
        <f t="shared" ca="1" si="264"/>
        <v>100</v>
      </c>
      <c r="E103" s="156" t="str">
        <f t="shared" ca="1" si="265"/>
        <v>-</v>
      </c>
      <c r="F103" s="186"/>
      <c r="G103" s="195"/>
      <c r="H103" s="248">
        <v>32</v>
      </c>
      <c r="I103" s="240">
        <v>1.0000000000000001E-5</v>
      </c>
      <c r="J103" s="241">
        <v>1.0000000000000001E-5</v>
      </c>
      <c r="K103" s="178"/>
      <c r="L103" s="204">
        <f t="shared" ca="1" si="266"/>
        <v>32</v>
      </c>
      <c r="M103" s="95">
        <f t="shared" ca="1" si="267"/>
        <v>1.0000000000000001E-5</v>
      </c>
      <c r="N103" s="205">
        <f t="shared" ca="1" si="268"/>
        <v>1.0000000000000001E-5</v>
      </c>
      <c r="O103" s="215"/>
      <c r="P103" s="157">
        <f t="shared" ca="1" si="269"/>
        <v>0</v>
      </c>
      <c r="Q103" s="215"/>
      <c r="R103" s="289">
        <f t="shared" ca="1" si="270"/>
        <v>0</v>
      </c>
      <c r="S103" s="290"/>
      <c r="T103" s="148"/>
      <c r="U103" s="291">
        <f t="shared" ca="1" si="271"/>
        <v>0</v>
      </c>
      <c r="V103" s="292"/>
      <c r="W103" s="23"/>
      <c r="X103" s="291">
        <f t="shared" ca="1" si="272"/>
        <v>0</v>
      </c>
      <c r="Y103" s="292"/>
      <c r="Z103" s="94"/>
      <c r="AA103" s="94"/>
      <c r="AB103" s="94"/>
      <c r="AC103" s="94"/>
      <c r="AD103" s="94"/>
      <c r="AE103" s="168"/>
      <c r="AF103" s="168"/>
      <c r="AG103" s="170">
        <v>1</v>
      </c>
      <c r="AH103" s="170">
        <v>2</v>
      </c>
      <c r="AI103" s="170">
        <v>3</v>
      </c>
      <c r="AJ103" s="170">
        <v>4</v>
      </c>
      <c r="AK103" s="170"/>
      <c r="AL103" s="170"/>
      <c r="AM103" s="170"/>
      <c r="AN103" s="170"/>
      <c r="AO103" s="170"/>
      <c r="AP103" s="170"/>
      <c r="AQ103" s="170"/>
      <c r="AR103" s="170"/>
      <c r="AS103" s="170"/>
      <c r="AT103" s="159"/>
      <c r="AU103" s="159"/>
      <c r="AV103" s="255"/>
      <c r="AW103" s="255"/>
      <c r="AX103" s="255"/>
      <c r="AY103" s="255"/>
      <c r="AZ103" s="255"/>
      <c r="BA103" s="255"/>
      <c r="BB103" s="255"/>
      <c r="BC103" s="255"/>
      <c r="BD103" s="255"/>
      <c r="BE103" s="112"/>
      <c r="BF103" s="112"/>
      <c r="BG103" s="112"/>
      <c r="BH103" s="159"/>
      <c r="BI103" s="255"/>
      <c r="BJ103" s="255"/>
      <c r="BK103" s="255"/>
      <c r="BL103" s="255"/>
      <c r="BM103" s="255"/>
      <c r="BN103" s="255"/>
      <c r="BO103" s="255"/>
      <c r="BP103" s="255"/>
      <c r="BQ103" s="255"/>
      <c r="BR103" s="255"/>
      <c r="BS103" s="255"/>
      <c r="BT103" s="159"/>
      <c r="BU103" s="159"/>
      <c r="BV103" s="159"/>
      <c r="BW103" s="255"/>
      <c r="BX103" s="255"/>
      <c r="BY103" s="255"/>
      <c r="BZ103" s="255"/>
      <c r="CA103" s="170"/>
      <c r="CB103" s="170"/>
      <c r="CC103" s="159"/>
      <c r="CD103" s="159"/>
      <c r="CE103" s="159"/>
      <c r="CF103" s="159"/>
      <c r="CG103" s="255"/>
      <c r="CH103" s="255"/>
      <c r="CI103" s="255"/>
      <c r="CJ103" s="255"/>
      <c r="CK103" s="255"/>
      <c r="CL103" s="255"/>
      <c r="CM103" s="255"/>
      <c r="CN103" s="255"/>
      <c r="CO103" s="255"/>
      <c r="CP103" s="255"/>
      <c r="CQ103" s="255"/>
      <c r="CR103" s="255"/>
      <c r="CS103" s="255"/>
      <c r="CT103" s="255"/>
      <c r="CU103" s="255"/>
      <c r="CV103" s="255"/>
      <c r="CW103" s="255"/>
      <c r="CX103" s="255"/>
      <c r="CY103" s="255"/>
      <c r="CZ103" s="255"/>
      <c r="DA103" s="255"/>
      <c r="DB103" s="255"/>
      <c r="DC103" s="255"/>
      <c r="DD103" s="255"/>
      <c r="DE103" s="255"/>
      <c r="DF103" s="255"/>
      <c r="DG103" s="112"/>
      <c r="DH103" s="112"/>
      <c r="DI103" s="112"/>
      <c r="DJ103" s="112"/>
      <c r="DK103" s="255"/>
      <c r="DL103" s="255"/>
      <c r="DM103" s="255"/>
      <c r="DN103" s="255"/>
      <c r="DO103" s="255"/>
      <c r="DP103" s="255"/>
      <c r="DQ103" s="255"/>
      <c r="DR103" s="255"/>
      <c r="DS103" s="255"/>
      <c r="DT103" s="255"/>
      <c r="DU103" s="255"/>
      <c r="DV103" s="255"/>
      <c r="DW103" s="260"/>
      <c r="DX103" s="168"/>
      <c r="DY103" s="168"/>
    </row>
    <row r="104" spans="1:129" s="151" customFormat="1" ht="14" customHeight="1">
      <c r="A104" s="215"/>
      <c r="B104" s="153">
        <f t="shared" ca="1" si="262"/>
        <v>70</v>
      </c>
      <c r="C104" s="154">
        <f t="shared" ca="1" si="263"/>
        <v>40</v>
      </c>
      <c r="D104" s="155">
        <f t="shared" ca="1" si="264"/>
        <v>70</v>
      </c>
      <c r="E104" s="156" t="str">
        <f t="shared" ca="1" si="265"/>
        <v>-</v>
      </c>
      <c r="F104" s="186"/>
      <c r="G104" s="195"/>
      <c r="H104" s="248">
        <v>48.2</v>
      </c>
      <c r="I104" s="249">
        <v>-11.37</v>
      </c>
      <c r="J104" s="250">
        <v>8.8800000000000008</v>
      </c>
      <c r="K104" s="178"/>
      <c r="L104" s="204">
        <f t="shared" ca="1" si="266"/>
        <v>48.2</v>
      </c>
      <c r="M104" s="95">
        <f t="shared" ca="1" si="267"/>
        <v>-11.37</v>
      </c>
      <c r="N104" s="205">
        <f t="shared" ca="1" si="268"/>
        <v>8.8800000000000008</v>
      </c>
      <c r="O104" s="215"/>
      <c r="P104" s="157">
        <f t="shared" ca="1" si="269"/>
        <v>0</v>
      </c>
      <c r="Q104" s="215"/>
      <c r="R104" s="289">
        <f t="shared" ca="1" si="270"/>
        <v>0</v>
      </c>
      <c r="S104" s="290"/>
      <c r="T104" s="148"/>
      <c r="U104" s="291">
        <f t="shared" ca="1" si="271"/>
        <v>0</v>
      </c>
      <c r="V104" s="292"/>
      <c r="W104" s="23"/>
      <c r="X104" s="291">
        <f t="shared" ca="1" si="272"/>
        <v>0</v>
      </c>
      <c r="Y104" s="292"/>
      <c r="Z104" s="94"/>
      <c r="AA104" s="94"/>
      <c r="AB104" s="94"/>
      <c r="AC104" s="94"/>
      <c r="AD104" s="94"/>
      <c r="AE104" s="168"/>
      <c r="AF104" s="168"/>
      <c r="AG104" s="170" t="s">
        <v>249</v>
      </c>
      <c r="AH104" s="170"/>
      <c r="AI104" s="170"/>
      <c r="AJ104" s="170"/>
      <c r="AK104" s="109" t="s">
        <v>85</v>
      </c>
      <c r="AL104" s="125" t="s">
        <v>86</v>
      </c>
      <c r="AM104" s="125" t="s">
        <v>87</v>
      </c>
      <c r="AN104" s="109" t="s">
        <v>88</v>
      </c>
      <c r="AO104" s="109" t="s">
        <v>89</v>
      </c>
      <c r="AP104" s="109" t="s">
        <v>90</v>
      </c>
      <c r="AQ104" s="109" t="s">
        <v>91</v>
      </c>
      <c r="AR104" s="109" t="s">
        <v>12</v>
      </c>
      <c r="AS104" s="109" t="s">
        <v>92</v>
      </c>
      <c r="AT104" s="159"/>
      <c r="AU104" s="255" t="s">
        <v>105</v>
      </c>
      <c r="AV104" s="255"/>
      <c r="AW104" s="255"/>
      <c r="AX104" s="170" t="s">
        <v>97</v>
      </c>
      <c r="AY104" s="172" t="s">
        <v>99</v>
      </c>
      <c r="AZ104" s="172" t="s">
        <v>98</v>
      </c>
      <c r="BA104" s="170" t="s">
        <v>100</v>
      </c>
      <c r="BB104" s="170" t="s">
        <v>101</v>
      </c>
      <c r="BC104" s="170" t="s">
        <v>102</v>
      </c>
      <c r="BD104" s="255"/>
      <c r="BE104" s="109" t="s">
        <v>106</v>
      </c>
      <c r="BF104" s="109" t="s">
        <v>107</v>
      </c>
      <c r="BG104" s="109" t="s">
        <v>108</v>
      </c>
      <c r="BH104" s="159"/>
      <c r="BI104" s="109" t="s">
        <v>93</v>
      </c>
      <c r="BJ104" s="255"/>
      <c r="BK104" s="255"/>
      <c r="BL104" s="255"/>
      <c r="BM104" s="109" t="s">
        <v>97</v>
      </c>
      <c r="BN104" s="125" t="s">
        <v>98</v>
      </c>
      <c r="BO104" s="125" t="s">
        <v>99</v>
      </c>
      <c r="BP104" s="109" t="s">
        <v>100</v>
      </c>
      <c r="BQ104" s="109" t="s">
        <v>101</v>
      </c>
      <c r="BR104" s="109" t="s">
        <v>102</v>
      </c>
      <c r="BS104" s="109" t="s">
        <v>91</v>
      </c>
      <c r="BT104" s="109" t="s">
        <v>12</v>
      </c>
      <c r="BU104" s="109" t="s">
        <v>92</v>
      </c>
      <c r="BV104" s="255"/>
      <c r="BW104" s="109" t="s">
        <v>116</v>
      </c>
      <c r="BX104" s="109" t="s">
        <v>117</v>
      </c>
      <c r="BY104" s="126" t="s">
        <v>118</v>
      </c>
      <c r="BZ104" s="109" t="s">
        <v>94</v>
      </c>
      <c r="CA104" s="109" t="s">
        <v>112</v>
      </c>
      <c r="CB104" s="126" t="s">
        <v>113</v>
      </c>
      <c r="CC104" s="255"/>
      <c r="CD104" s="255"/>
      <c r="CE104" s="255"/>
      <c r="CF104" s="255"/>
      <c r="CG104" s="255"/>
      <c r="CH104" s="255"/>
      <c r="CI104" s="255"/>
      <c r="CJ104" s="255"/>
      <c r="CK104" s="255"/>
      <c r="CL104" s="255"/>
      <c r="CM104" s="255"/>
      <c r="CN104" s="255"/>
      <c r="CO104" s="255"/>
      <c r="CP104" s="255"/>
      <c r="CQ104" s="255"/>
      <c r="CR104" s="255"/>
      <c r="CS104" s="255"/>
      <c r="CT104" s="255"/>
      <c r="CU104" s="255"/>
      <c r="CV104" s="255"/>
      <c r="CW104" s="255"/>
      <c r="CX104" s="255"/>
      <c r="CY104" s="255"/>
      <c r="CZ104" s="255"/>
      <c r="DA104" s="255"/>
      <c r="DB104" s="255"/>
      <c r="DC104" s="255"/>
      <c r="DD104" s="255"/>
      <c r="DE104" s="255"/>
      <c r="DF104" s="255"/>
      <c r="DG104" s="112"/>
      <c r="DH104" s="112"/>
      <c r="DI104" s="112"/>
      <c r="DJ104" s="112"/>
      <c r="DK104" s="255"/>
      <c r="DL104" s="255"/>
      <c r="DM104" s="255"/>
      <c r="DN104" s="255"/>
      <c r="DO104" s="255"/>
      <c r="DP104" s="255"/>
      <c r="DQ104" s="255"/>
      <c r="DR104" s="255"/>
      <c r="DS104" s="255"/>
      <c r="DT104" s="255"/>
      <c r="DU104" s="255"/>
      <c r="DV104" s="255"/>
      <c r="DW104" s="260"/>
      <c r="DX104" s="168"/>
      <c r="DY104" s="168"/>
    </row>
    <row r="105" spans="1:129" s="151" customFormat="1" ht="14" customHeight="1">
      <c r="A105" s="215"/>
      <c r="B105" s="153">
        <f t="shared" ca="1" si="262"/>
        <v>40</v>
      </c>
      <c r="C105" s="154">
        <f t="shared" ca="1" si="263"/>
        <v>10</v>
      </c>
      <c r="D105" s="155">
        <f t="shared" ca="1" si="264"/>
        <v>10</v>
      </c>
      <c r="E105" s="156" t="str">
        <f t="shared" ca="1" si="265"/>
        <v>-</v>
      </c>
      <c r="F105" s="186"/>
      <c r="G105" s="195"/>
      <c r="H105" s="248">
        <v>68.37</v>
      </c>
      <c r="I105" s="249">
        <v>-9.6</v>
      </c>
      <c r="J105" s="250">
        <v>-8.85</v>
      </c>
      <c r="K105" s="178"/>
      <c r="L105" s="204">
        <f t="shared" ca="1" si="266"/>
        <v>68.37</v>
      </c>
      <c r="M105" s="95">
        <f t="shared" ca="1" si="267"/>
        <v>-9.6</v>
      </c>
      <c r="N105" s="205">
        <f t="shared" ca="1" si="268"/>
        <v>-8.85</v>
      </c>
      <c r="O105" s="215"/>
      <c r="P105" s="157">
        <f t="shared" ca="1" si="269"/>
        <v>0</v>
      </c>
      <c r="Q105" s="215"/>
      <c r="R105" s="289">
        <f t="shared" ca="1" si="270"/>
        <v>0</v>
      </c>
      <c r="S105" s="290"/>
      <c r="T105" s="148"/>
      <c r="U105" s="291">
        <f t="shared" ca="1" si="271"/>
        <v>0</v>
      </c>
      <c r="V105" s="292"/>
      <c r="W105" s="23"/>
      <c r="X105" s="291">
        <f t="shared" ca="1" si="272"/>
        <v>0</v>
      </c>
      <c r="Y105" s="292"/>
      <c r="Z105" s="94"/>
      <c r="AA105" s="94"/>
      <c r="AB105" s="94"/>
      <c r="AC105" s="94"/>
      <c r="AD105" s="94"/>
      <c r="AE105" s="168"/>
      <c r="AF105" s="168"/>
      <c r="AG105" s="173">
        <f t="shared" ref="AG105:AI124" ca="1" si="273">INDEX(INDIRECT($AI$9),$AJ105,AG$103)</f>
        <v>57</v>
      </c>
      <c r="AH105" s="173">
        <f t="shared" ca="1" si="273"/>
        <v>-28</v>
      </c>
      <c r="AI105" s="173">
        <f t="shared" ca="1" si="273"/>
        <v>-34</v>
      </c>
      <c r="AJ105" s="109">
        <v>1</v>
      </c>
      <c r="AK105" s="113">
        <f t="shared" ref="AK105:AK136" ca="1" si="274">AH105/500+AM105</f>
        <v>0.57331034482758614</v>
      </c>
      <c r="AL105" s="112">
        <f t="shared" ref="AL105:AL136" ca="1" si="275">AM105-AI105/200</f>
        <v>0.79931034482758623</v>
      </c>
      <c r="AM105" s="112">
        <f t="shared" ref="AM105:AM136" ca="1" si="276">(AG105+16)/116</f>
        <v>0.62931034482758619</v>
      </c>
      <c r="AN105" s="113">
        <f t="shared" ref="AN105:AN136" ca="1" si="277">IF(AK105^3&gt;(216/24389),AK105^3,(116*AK105-16)/(24389/27))</f>
        <v>0.18843836821419485</v>
      </c>
      <c r="AO105" s="113">
        <f t="shared" ref="AO105:AO136" ca="1" si="278">IF(AG105&gt;(216/24389)*(24389/27),((AG105+16)/116)^3,AG105/(24389/27))</f>
        <v>0.24922672618803557</v>
      </c>
      <c r="AP105" s="113">
        <f t="shared" ref="AP105:AP136" ca="1" si="279">IF(AL105^3&gt;(216/24389),AL105^3,(116*AL105-16)/(24389/27))</f>
        <v>0.51067700323916521</v>
      </c>
      <c r="AQ105" s="125">
        <f t="shared" ref="AQ105:AQ136" ca="1" si="280">AN105*0.9642</f>
        <v>0.18169227463212667</v>
      </c>
      <c r="AR105" s="113">
        <f t="shared" ref="AR105:AR136" ca="1" si="281">AO105</f>
        <v>0.24922672618803557</v>
      </c>
      <c r="AS105" s="112">
        <f t="shared" ref="AS105:AS136" ca="1" si="282">AP105*0.8249</f>
        <v>0.42125745997198738</v>
      </c>
      <c r="AT105" s="159"/>
      <c r="AU105" s="255" t="e">
        <f t="shared" ref="AU105:AU136" ca="1" si="283">AQ105*(1+$BZ$112)-$BZ$110*$BZ$112</f>
        <v>#N/A</v>
      </c>
      <c r="AV105" s="255" t="e">
        <f t="shared" ref="AV105:AV136" ca="1" si="284">AR105*(1+$CA$112)-$CA$110*$CA$112</f>
        <v>#N/A</v>
      </c>
      <c r="AW105" s="255" t="e">
        <f t="shared" ref="AW105:AW136" ca="1" si="285">AS105*(1+$CB$112)-$CB$110*$CB$112</f>
        <v>#N/A</v>
      </c>
      <c r="AX105" s="255" t="e">
        <f t="shared" ref="AX105:AX136" ca="1" si="286">IF(BA105&gt;(216/24389),BA105^(1/3),((24389/27)*BA105+16)/116)</f>
        <v>#N/A</v>
      </c>
      <c r="AY105" s="255" t="e">
        <f t="shared" ref="AY105:AY136" ca="1" si="287">IF(BB105&gt;(216/24389),BB105^(1/3),((24389/27)*BB105+16)/116)</f>
        <v>#N/A</v>
      </c>
      <c r="AZ105" s="255" t="e">
        <f t="shared" ref="AZ105:AZ136" ca="1" si="288">IF(BC105&gt;(216/24389),BC105^(1/3),((24389/27)*BC105+16)/116)</f>
        <v>#N/A</v>
      </c>
      <c r="BA105" s="255" t="e">
        <f t="shared" ref="BA105:BA136" ca="1" si="289">AU105/0.9642</f>
        <v>#N/A</v>
      </c>
      <c r="BB105" s="255" t="e">
        <f t="shared" ref="BB105:BB136" ca="1" si="290">AV105</f>
        <v>#N/A</v>
      </c>
      <c r="BC105" s="255" t="e">
        <f t="shared" ref="BC105:BC136" ca="1" si="291">AW105/0.8249</f>
        <v>#N/A</v>
      </c>
      <c r="BD105" s="255"/>
      <c r="BE105" s="112" t="e">
        <f t="shared" ref="BE105:BE136" ca="1" si="292">116*AY105-16</f>
        <v>#N/A</v>
      </c>
      <c r="BF105" s="112" t="e">
        <f t="shared" ref="BF105:BF136" ca="1" si="293">500*(AX105-AY105)</f>
        <v>#N/A</v>
      </c>
      <c r="BG105" s="112" t="e">
        <f t="shared" ref="BG105:BG136" ca="1" si="294">200*(AY105-AZ105)</f>
        <v>#N/A</v>
      </c>
      <c r="BH105" s="159"/>
      <c r="BI105" s="112">
        <f t="shared" ref="BI105:BI136" si="295">H36</f>
        <v>57</v>
      </c>
      <c r="BJ105" s="112">
        <f t="shared" ref="BJ105:BJ136" si="296">I36</f>
        <v>-28</v>
      </c>
      <c r="BK105" s="112">
        <f t="shared" ref="BK105:BK136" si="297">J36</f>
        <v>-34</v>
      </c>
      <c r="BL105" s="255"/>
      <c r="BM105" s="113">
        <f t="shared" ref="BM105:BM136" si="298">BJ105/500+BO105</f>
        <v>0.57331034482758614</v>
      </c>
      <c r="BN105" s="112">
        <f t="shared" ref="BN105:BN136" si="299">BO105-BK105/200</f>
        <v>0.79931034482758623</v>
      </c>
      <c r="BO105" s="112">
        <f t="shared" ref="BO105:BO136" si="300">(BI105+16)/116</f>
        <v>0.62931034482758619</v>
      </c>
      <c r="BP105" s="113">
        <f>IF(BM105^3&gt;(216/24389),BM105^3,(116*BM105-16)/(24389/27))</f>
        <v>0.18843836821419485</v>
      </c>
      <c r="BQ105" s="113">
        <f t="shared" ref="BQ105:BQ136" si="301">IF(BI105&gt;(216/24389)*(24389/27),((BI105+16)/116)^3,BI105/(24389/27))</f>
        <v>0.24922672618803557</v>
      </c>
      <c r="BR105" s="113">
        <f>IF(BN105^3&gt;(216/24389),BN105^3,(116*BN105-16)/(24389/27))</f>
        <v>0.51067700323916521</v>
      </c>
      <c r="BS105" s="125">
        <f>BP105*0.9642</f>
        <v>0.18169227463212667</v>
      </c>
      <c r="BT105" s="113">
        <f>BQ105</f>
        <v>0.24922672618803557</v>
      </c>
      <c r="BU105" s="112">
        <f>BR105*0.8249</f>
        <v>0.42125745997198738</v>
      </c>
      <c r="BV105" s="255"/>
      <c r="BW105" s="112">
        <f ca="1">(VLOOKUP("C0M0Y0K0",$CI$14:$DV$97,35,FALSE))</f>
        <v>87</v>
      </c>
      <c r="BX105" s="112">
        <f ca="1">(VLOOKUP("C0M0Y0K0",$CI$14:$DV$97,36,FALSE))</f>
        <v>0</v>
      </c>
      <c r="BY105" s="112">
        <f ca="1">(VLOOKUP("C0M0Y0K0",$CI$14:$DV$97,37,FALSE))</f>
        <v>3</v>
      </c>
      <c r="BZ105" s="112">
        <f ca="1">(VLOOKUP("C0M0Y0K0",$CI$14:$DV$97,29,FALSE))</f>
        <v>0.67500164866845713</v>
      </c>
      <c r="CA105" s="112">
        <f ca="1">(VLOOKUP("C0M0Y0K0",$CI$14:$DV$97,30,FALSE))</f>
        <v>0.70006393763581953</v>
      </c>
      <c r="CB105" s="112">
        <f ca="1">(VLOOKUP("C0M0Y0K0",$CI$14:$DV$97,31,FALSE))</f>
        <v>0.54870776367045759</v>
      </c>
      <c r="CC105" s="255"/>
      <c r="CD105" s="255"/>
      <c r="CE105" s="255"/>
      <c r="CF105" s="255"/>
      <c r="CG105" s="255"/>
      <c r="CH105" s="255"/>
      <c r="CI105" s="255"/>
      <c r="CJ105" s="255"/>
      <c r="CK105" s="255"/>
      <c r="CL105" s="255"/>
      <c r="CM105" s="255"/>
      <c r="CN105" s="255"/>
      <c r="CO105" s="255"/>
      <c r="CP105" s="255"/>
      <c r="CQ105" s="255"/>
      <c r="CR105" s="255"/>
      <c r="CS105" s="255"/>
      <c r="CT105" s="255"/>
      <c r="CU105" s="255"/>
      <c r="CV105" s="255"/>
      <c r="CW105" s="255"/>
      <c r="CX105" s="255"/>
      <c r="CY105" s="255"/>
      <c r="CZ105" s="255"/>
      <c r="DA105" s="255"/>
      <c r="DB105" s="255"/>
      <c r="DC105" s="255"/>
      <c r="DD105" s="255"/>
      <c r="DE105" s="255"/>
      <c r="DF105" s="255"/>
      <c r="DG105" s="112"/>
      <c r="DH105" s="112"/>
      <c r="DI105" s="112"/>
      <c r="DJ105" s="112"/>
      <c r="DK105" s="255"/>
      <c r="DL105" s="255"/>
      <c r="DM105" s="255"/>
      <c r="DN105" s="255"/>
      <c r="DO105" s="255"/>
      <c r="DP105" s="255"/>
      <c r="DQ105" s="255"/>
      <c r="DR105" s="255"/>
      <c r="DS105" s="255"/>
      <c r="DT105" s="255"/>
      <c r="DU105" s="255"/>
      <c r="DV105" s="255"/>
      <c r="DW105" s="260"/>
      <c r="DX105" s="168"/>
      <c r="DY105" s="168"/>
    </row>
    <row r="106" spans="1:129" s="151" customFormat="1" ht="14" customHeight="1">
      <c r="A106" s="215"/>
      <c r="B106" s="153">
        <f t="shared" ca="1" si="262"/>
        <v>10</v>
      </c>
      <c r="C106" s="154">
        <f t="shared" ca="1" si="263"/>
        <v>40</v>
      </c>
      <c r="D106" s="155">
        <f t="shared" ca="1" si="264"/>
        <v>10</v>
      </c>
      <c r="E106" s="156" t="str">
        <f t="shared" ca="1" si="265"/>
        <v>-</v>
      </c>
      <c r="F106" s="186"/>
      <c r="G106" s="195"/>
      <c r="H106" s="248">
        <v>65.930000000000007</v>
      </c>
      <c r="I106" s="249">
        <v>21.42</v>
      </c>
      <c r="J106" s="250">
        <v>-0.52</v>
      </c>
      <c r="K106" s="178"/>
      <c r="L106" s="204">
        <f t="shared" ca="1" si="266"/>
        <v>65.930000000000007</v>
      </c>
      <c r="M106" s="95">
        <f t="shared" ca="1" si="267"/>
        <v>21.42</v>
      </c>
      <c r="N106" s="205">
        <f t="shared" ca="1" si="268"/>
        <v>-0.52</v>
      </c>
      <c r="O106" s="215"/>
      <c r="P106" s="157">
        <f t="shared" ca="1" si="269"/>
        <v>0</v>
      </c>
      <c r="Q106" s="215"/>
      <c r="R106" s="289">
        <f t="shared" ca="1" si="270"/>
        <v>0</v>
      </c>
      <c r="S106" s="290"/>
      <c r="T106" s="148"/>
      <c r="U106" s="291">
        <f t="shared" ca="1" si="271"/>
        <v>0</v>
      </c>
      <c r="V106" s="292"/>
      <c r="W106" s="23"/>
      <c r="X106" s="291">
        <f t="shared" ca="1" si="272"/>
        <v>0</v>
      </c>
      <c r="Y106" s="292"/>
      <c r="Z106" s="94"/>
      <c r="AA106" s="94"/>
      <c r="AB106" s="94"/>
      <c r="AC106" s="94"/>
      <c r="AD106" s="94"/>
      <c r="AE106" s="168"/>
      <c r="AF106" s="168"/>
      <c r="AG106" s="173">
        <f t="shared" ca="1" si="273"/>
        <v>24.71</v>
      </c>
      <c r="AH106" s="173">
        <f t="shared" ca="1" si="273"/>
        <v>6.96</v>
      </c>
      <c r="AI106" s="173">
        <f t="shared" ca="1" si="273"/>
        <v>-8.49</v>
      </c>
      <c r="AJ106" s="109">
        <v>2</v>
      </c>
      <c r="AK106" s="113">
        <f t="shared" ca="1" si="274"/>
        <v>0.36486827586206894</v>
      </c>
      <c r="AL106" s="112">
        <f t="shared" ca="1" si="275"/>
        <v>0.39339827586206894</v>
      </c>
      <c r="AM106" s="112">
        <f t="shared" ca="1" si="276"/>
        <v>0.35094827586206895</v>
      </c>
      <c r="AN106" s="113">
        <f t="shared" ca="1" si="277"/>
        <v>4.8574497152503941E-2</v>
      </c>
      <c r="AO106" s="113">
        <f t="shared" ca="1" si="278"/>
        <v>4.3224436420491813E-2</v>
      </c>
      <c r="AP106" s="113">
        <f t="shared" ca="1" si="279"/>
        <v>6.0883184006335897E-2</v>
      </c>
      <c r="AQ106" s="125">
        <f t="shared" ca="1" si="280"/>
        <v>4.6835530154444298E-2</v>
      </c>
      <c r="AR106" s="113">
        <f t="shared" ca="1" si="281"/>
        <v>4.3224436420491813E-2</v>
      </c>
      <c r="AS106" s="112">
        <f t="shared" ca="1" si="282"/>
        <v>5.0222538486826479E-2</v>
      </c>
      <c r="AT106" s="159"/>
      <c r="AU106" s="255" t="e">
        <f t="shared" ca="1" si="283"/>
        <v>#N/A</v>
      </c>
      <c r="AV106" s="255" t="e">
        <f t="shared" ca="1" si="284"/>
        <v>#N/A</v>
      </c>
      <c r="AW106" s="255" t="e">
        <f t="shared" ca="1" si="285"/>
        <v>#N/A</v>
      </c>
      <c r="AX106" s="255" t="e">
        <f t="shared" ca="1" si="286"/>
        <v>#N/A</v>
      </c>
      <c r="AY106" s="255" t="e">
        <f t="shared" ca="1" si="287"/>
        <v>#N/A</v>
      </c>
      <c r="AZ106" s="255" t="e">
        <f t="shared" ca="1" si="288"/>
        <v>#N/A</v>
      </c>
      <c r="BA106" s="255" t="e">
        <f t="shared" ca="1" si="289"/>
        <v>#N/A</v>
      </c>
      <c r="BB106" s="255" t="e">
        <f t="shared" ca="1" si="290"/>
        <v>#N/A</v>
      </c>
      <c r="BC106" s="255" t="e">
        <f t="shared" ca="1" si="291"/>
        <v>#N/A</v>
      </c>
      <c r="BD106" s="255"/>
      <c r="BE106" s="112" t="e">
        <f t="shared" ca="1" si="292"/>
        <v>#N/A</v>
      </c>
      <c r="BF106" s="112" t="e">
        <f t="shared" ca="1" si="293"/>
        <v>#N/A</v>
      </c>
      <c r="BG106" s="112" t="e">
        <f t="shared" ca="1" si="294"/>
        <v>#N/A</v>
      </c>
      <c r="BH106" s="159"/>
      <c r="BI106" s="112">
        <f t="shared" si="295"/>
        <v>24.71</v>
      </c>
      <c r="BJ106" s="112">
        <f t="shared" si="296"/>
        <v>6.96</v>
      </c>
      <c r="BK106" s="112">
        <f t="shared" si="297"/>
        <v>-8.49</v>
      </c>
      <c r="BL106" s="255"/>
      <c r="BM106" s="113">
        <f t="shared" si="298"/>
        <v>0.36486827586206894</v>
      </c>
      <c r="BN106" s="112">
        <f t="shared" si="299"/>
        <v>0.39339827586206894</v>
      </c>
      <c r="BO106" s="112">
        <f t="shared" si="300"/>
        <v>0.35094827586206895</v>
      </c>
      <c r="BP106" s="113">
        <f t="shared" ref="BP106:BP158" si="302">IF(BM106^3&gt;(216/24389),BM106^3,(116*BM106-16)/(24389/27))</f>
        <v>4.8574497152503941E-2</v>
      </c>
      <c r="BQ106" s="113">
        <f t="shared" si="301"/>
        <v>4.3224436420491813E-2</v>
      </c>
      <c r="BR106" s="113">
        <f t="shared" ref="BR106:BR158" si="303">IF(BN106^3&gt;(216/24389),BN106^3,(116*BN106-16)/(24389/27))</f>
        <v>6.0883184006335897E-2</v>
      </c>
      <c r="BS106" s="125">
        <f t="shared" ref="BS106:BS158" si="304">BP106*0.9642</f>
        <v>4.6835530154444298E-2</v>
      </c>
      <c r="BT106" s="113">
        <f t="shared" ref="BT106:BT158" si="305">BQ106</f>
        <v>4.3224436420491813E-2</v>
      </c>
      <c r="BU106" s="112">
        <f t="shared" ref="BU106:BU158" si="306">BR106*0.8249</f>
        <v>5.0222538486826479E-2</v>
      </c>
      <c r="BV106" s="255"/>
      <c r="BW106" s="112" t="s">
        <v>119</v>
      </c>
      <c r="BX106" s="112" t="s">
        <v>120</v>
      </c>
      <c r="BY106" s="112" t="s">
        <v>121</v>
      </c>
      <c r="BZ106" s="112" t="s">
        <v>95</v>
      </c>
      <c r="CA106" s="112" t="s">
        <v>114</v>
      </c>
      <c r="CB106" s="112" t="s">
        <v>115</v>
      </c>
      <c r="CC106" s="255"/>
      <c r="CD106" s="255"/>
      <c r="CE106" s="255"/>
      <c r="CF106" s="255"/>
      <c r="CG106" s="255"/>
      <c r="CH106" s="255"/>
      <c r="CI106" s="255"/>
      <c r="CJ106" s="255"/>
      <c r="CK106" s="255"/>
      <c r="CL106" s="255"/>
      <c r="CM106" s="255"/>
      <c r="CN106" s="255"/>
      <c r="CO106" s="255"/>
      <c r="CP106" s="255"/>
      <c r="CQ106" s="255"/>
      <c r="CR106" s="255"/>
      <c r="CS106" s="255"/>
      <c r="CT106" s="255"/>
      <c r="CU106" s="255"/>
      <c r="CV106" s="255"/>
      <c r="CW106" s="255"/>
      <c r="CX106" s="255"/>
      <c r="CY106" s="255"/>
      <c r="CZ106" s="255"/>
      <c r="DA106" s="255"/>
      <c r="DB106" s="255"/>
      <c r="DC106" s="255"/>
      <c r="DD106" s="255"/>
      <c r="DE106" s="255"/>
      <c r="DF106" s="255"/>
      <c r="DG106" s="112"/>
      <c r="DH106" s="112"/>
      <c r="DI106" s="112"/>
      <c r="DJ106" s="112"/>
      <c r="DK106" s="255"/>
      <c r="DL106" s="255"/>
      <c r="DM106" s="255"/>
      <c r="DN106" s="255"/>
      <c r="DO106" s="255"/>
      <c r="DP106" s="255"/>
      <c r="DQ106" s="255"/>
      <c r="DR106" s="255"/>
      <c r="DS106" s="255"/>
      <c r="DT106" s="255"/>
      <c r="DU106" s="255"/>
      <c r="DV106" s="255"/>
      <c r="DW106" s="260"/>
      <c r="DX106" s="168"/>
      <c r="DY106" s="168"/>
    </row>
    <row r="107" spans="1:129" s="151" customFormat="1" ht="14" customHeight="1">
      <c r="A107" s="215"/>
      <c r="B107" s="153">
        <f t="shared" ca="1" si="262"/>
        <v>10</v>
      </c>
      <c r="C107" s="154">
        <f t="shared" ca="1" si="263"/>
        <v>10</v>
      </c>
      <c r="D107" s="155">
        <f t="shared" ca="1" si="264"/>
        <v>40</v>
      </c>
      <c r="E107" s="156" t="str">
        <f t="shared" ca="1" si="265"/>
        <v>-</v>
      </c>
      <c r="F107" s="189"/>
      <c r="G107" s="190"/>
      <c r="H107" s="248">
        <v>76.33</v>
      </c>
      <c r="I107" s="249">
        <v>-0.41</v>
      </c>
      <c r="J107" s="250">
        <v>26.29</v>
      </c>
      <c r="K107" s="177"/>
      <c r="L107" s="102">
        <f t="shared" ca="1" si="266"/>
        <v>76.33</v>
      </c>
      <c r="M107" s="95">
        <f t="shared" ca="1" si="267"/>
        <v>-0.41</v>
      </c>
      <c r="N107" s="205">
        <f t="shared" ca="1" si="268"/>
        <v>26.29</v>
      </c>
      <c r="O107" s="215"/>
      <c r="P107" s="157">
        <f t="shared" ca="1" si="269"/>
        <v>0</v>
      </c>
      <c r="Q107" s="215"/>
      <c r="R107" s="289">
        <f t="shared" ca="1" si="270"/>
        <v>0</v>
      </c>
      <c r="S107" s="290"/>
      <c r="T107" s="148"/>
      <c r="U107" s="291">
        <f t="shared" ca="1" si="271"/>
        <v>0</v>
      </c>
      <c r="V107" s="292"/>
      <c r="W107" s="23"/>
      <c r="X107" s="291">
        <f t="shared" ca="1" si="272"/>
        <v>0</v>
      </c>
      <c r="Y107" s="292"/>
      <c r="Z107" s="94"/>
      <c r="AA107" s="94"/>
      <c r="AB107" s="94"/>
      <c r="AC107" s="94"/>
      <c r="AD107" s="94"/>
      <c r="AE107" s="168"/>
      <c r="AF107" s="168"/>
      <c r="AG107" s="173">
        <f t="shared" ca="1" si="273"/>
        <v>33.9</v>
      </c>
      <c r="AH107" s="173">
        <f t="shared" ca="1" si="273"/>
        <v>3.81</v>
      </c>
      <c r="AI107" s="173">
        <f t="shared" ca="1" si="273"/>
        <v>-21.64</v>
      </c>
      <c r="AJ107" s="109">
        <v>3</v>
      </c>
      <c r="AK107" s="113">
        <f t="shared" ca="1" si="274"/>
        <v>0.43779241379310346</v>
      </c>
      <c r="AL107" s="112">
        <f t="shared" ca="1" si="275"/>
        <v>0.53837241379310341</v>
      </c>
      <c r="AM107" s="112">
        <f t="shared" ca="1" si="276"/>
        <v>0.43017241379310345</v>
      </c>
      <c r="AN107" s="113">
        <f t="shared" ca="1" si="277"/>
        <v>8.3908256109158849E-2</v>
      </c>
      <c r="AO107" s="113">
        <f t="shared" ca="1" si="278"/>
        <v>7.9602676283365453E-2</v>
      </c>
      <c r="AP107" s="113">
        <f t="shared" ca="1" si="279"/>
        <v>0.15604447471438565</v>
      </c>
      <c r="AQ107" s="125">
        <f t="shared" ca="1" si="280"/>
        <v>8.0904340540450953E-2</v>
      </c>
      <c r="AR107" s="113">
        <f t="shared" ca="1" si="281"/>
        <v>7.9602676283365453E-2</v>
      </c>
      <c r="AS107" s="112">
        <f t="shared" ca="1" si="282"/>
        <v>0.1287210871918967</v>
      </c>
      <c r="AT107" s="159"/>
      <c r="AU107" s="255" t="e">
        <f t="shared" ca="1" si="283"/>
        <v>#N/A</v>
      </c>
      <c r="AV107" s="255" t="e">
        <f t="shared" ca="1" si="284"/>
        <v>#N/A</v>
      </c>
      <c r="AW107" s="255" t="e">
        <f t="shared" ca="1" si="285"/>
        <v>#N/A</v>
      </c>
      <c r="AX107" s="255" t="e">
        <f t="shared" ca="1" si="286"/>
        <v>#N/A</v>
      </c>
      <c r="AY107" s="255" t="e">
        <f t="shared" ca="1" si="287"/>
        <v>#N/A</v>
      </c>
      <c r="AZ107" s="255" t="e">
        <f t="shared" ca="1" si="288"/>
        <v>#N/A</v>
      </c>
      <c r="BA107" s="255" t="e">
        <f t="shared" ca="1" si="289"/>
        <v>#N/A</v>
      </c>
      <c r="BB107" s="255" t="e">
        <f t="shared" ca="1" si="290"/>
        <v>#N/A</v>
      </c>
      <c r="BC107" s="255" t="e">
        <f t="shared" ca="1" si="291"/>
        <v>#N/A</v>
      </c>
      <c r="BD107" s="255"/>
      <c r="BE107" s="112" t="e">
        <f t="shared" ca="1" si="292"/>
        <v>#N/A</v>
      </c>
      <c r="BF107" s="112" t="e">
        <f t="shared" ca="1" si="293"/>
        <v>#N/A</v>
      </c>
      <c r="BG107" s="112" t="e">
        <f t="shared" ca="1" si="294"/>
        <v>#N/A</v>
      </c>
      <c r="BH107" s="159"/>
      <c r="BI107" s="112">
        <f t="shared" si="295"/>
        <v>33.9</v>
      </c>
      <c r="BJ107" s="112">
        <f t="shared" si="296"/>
        <v>3.81</v>
      </c>
      <c r="BK107" s="112">
        <f t="shared" si="297"/>
        <v>-21.64</v>
      </c>
      <c r="BL107" s="255"/>
      <c r="BM107" s="113">
        <f t="shared" si="298"/>
        <v>0.43779241379310346</v>
      </c>
      <c r="BN107" s="112">
        <f t="shared" si="299"/>
        <v>0.53837241379310341</v>
      </c>
      <c r="BO107" s="112">
        <f t="shared" si="300"/>
        <v>0.43017241379310345</v>
      </c>
      <c r="BP107" s="113">
        <f t="shared" si="302"/>
        <v>8.3908256109158849E-2</v>
      </c>
      <c r="BQ107" s="113">
        <f t="shared" si="301"/>
        <v>7.9602676283365453E-2</v>
      </c>
      <c r="BR107" s="113">
        <f t="shared" si="303"/>
        <v>0.15604447471438565</v>
      </c>
      <c r="BS107" s="125">
        <f t="shared" si="304"/>
        <v>8.0904340540450953E-2</v>
      </c>
      <c r="BT107" s="113">
        <f t="shared" si="305"/>
        <v>7.9602676283365453E-2</v>
      </c>
      <c r="BU107" s="112">
        <f t="shared" si="306"/>
        <v>0.1287210871918967</v>
      </c>
      <c r="BV107" s="255"/>
      <c r="BW107" s="112">
        <f ca="1">(VLOOKUP("C0M0Y0K0",$CI$14:$DV$97,38,FALSE))</f>
        <v>87</v>
      </c>
      <c r="BX107" s="112">
        <f ca="1">(VLOOKUP("C0M0Y0K0",$CI$14:$DV$97,39,FALSE))</f>
        <v>0</v>
      </c>
      <c r="BY107" s="112">
        <f ca="1">(VLOOKUP("C0M0Y0K0",$CI$14:$DV$97,40,FALSE))</f>
        <v>3</v>
      </c>
      <c r="BZ107" s="112">
        <f ca="1">(VLOOKUP("C0M0Y0K0",$CI$14:$DV$97,32,FALSE))</f>
        <v>0.67500164866845713</v>
      </c>
      <c r="CA107" s="112">
        <f ca="1">(VLOOKUP("C0M0Y0K0",$CI$14:$DV$97,33,FALSE))</f>
        <v>0.70006393763581953</v>
      </c>
      <c r="CB107" s="112">
        <f ca="1">(VLOOKUP("C0M0Y0K0",$CI$14:$DV$97,34,FALSE))</f>
        <v>0.54870776367045759</v>
      </c>
      <c r="CC107" s="255"/>
      <c r="CD107" s="255"/>
      <c r="CE107" s="174"/>
      <c r="CF107" s="255"/>
      <c r="CG107" s="255"/>
      <c r="CH107" s="255"/>
      <c r="CI107" s="255"/>
      <c r="CJ107" s="255"/>
      <c r="CK107" s="255"/>
      <c r="CL107" s="255"/>
      <c r="CM107" s="255"/>
      <c r="CN107" s="255"/>
      <c r="CO107" s="255"/>
      <c r="CP107" s="255"/>
      <c r="CQ107" s="255"/>
      <c r="CR107" s="255"/>
      <c r="CS107" s="255"/>
      <c r="CT107" s="255"/>
      <c r="CU107" s="255"/>
      <c r="CV107" s="255"/>
      <c r="CW107" s="255"/>
      <c r="CX107" s="255"/>
      <c r="CY107" s="255"/>
      <c r="CZ107" s="255"/>
      <c r="DA107" s="255"/>
      <c r="DB107" s="255"/>
      <c r="DC107" s="255"/>
      <c r="DD107" s="255"/>
      <c r="DE107" s="255"/>
      <c r="DF107" s="255"/>
      <c r="DG107" s="112"/>
      <c r="DH107" s="112"/>
      <c r="DI107" s="112"/>
      <c r="DJ107" s="112"/>
      <c r="DK107" s="255"/>
      <c r="DL107" s="255"/>
      <c r="DM107" s="255"/>
      <c r="DN107" s="255"/>
      <c r="DO107" s="255"/>
      <c r="DP107" s="255"/>
      <c r="DQ107" s="255"/>
      <c r="DR107" s="255"/>
      <c r="DS107" s="255"/>
      <c r="DT107" s="255"/>
      <c r="DU107" s="255"/>
      <c r="DV107" s="255"/>
      <c r="DW107" s="260"/>
      <c r="DX107" s="168"/>
      <c r="DY107" s="168"/>
    </row>
    <row r="108" spans="1:129" s="151" customFormat="1" ht="14" customHeight="1">
      <c r="A108" s="215"/>
      <c r="B108" s="153">
        <f t="shared" ca="1" si="262"/>
        <v>40</v>
      </c>
      <c r="C108" s="154">
        <f t="shared" ca="1" si="263"/>
        <v>40</v>
      </c>
      <c r="D108" s="155">
        <f t="shared" ca="1" si="264"/>
        <v>10</v>
      </c>
      <c r="E108" s="156" t="str">
        <f t="shared" ca="1" si="265"/>
        <v>-</v>
      </c>
      <c r="F108" s="189"/>
      <c r="G108" s="190"/>
      <c r="H108" s="248">
        <v>58.16</v>
      </c>
      <c r="I108" s="249">
        <v>8.11</v>
      </c>
      <c r="J108" s="250">
        <v>-12.18</v>
      </c>
      <c r="K108" s="177"/>
      <c r="L108" s="102">
        <f t="shared" ca="1" si="266"/>
        <v>58.16</v>
      </c>
      <c r="M108" s="95">
        <f t="shared" ca="1" si="267"/>
        <v>8.11</v>
      </c>
      <c r="N108" s="205">
        <f t="shared" ca="1" si="268"/>
        <v>-12.18</v>
      </c>
      <c r="O108" s="215"/>
      <c r="P108" s="157">
        <f t="shared" ca="1" si="269"/>
        <v>0</v>
      </c>
      <c r="Q108" s="215"/>
      <c r="R108" s="289">
        <f t="shared" ca="1" si="270"/>
        <v>0</v>
      </c>
      <c r="S108" s="290"/>
      <c r="T108" s="148"/>
      <c r="U108" s="291">
        <f t="shared" ca="1" si="271"/>
        <v>0</v>
      </c>
      <c r="V108" s="292"/>
      <c r="W108" s="23"/>
      <c r="X108" s="291">
        <f t="shared" ca="1" si="272"/>
        <v>0</v>
      </c>
      <c r="Y108" s="292"/>
      <c r="Z108" s="94"/>
      <c r="AA108" s="94"/>
      <c r="AB108" s="94"/>
      <c r="AC108" s="94"/>
      <c r="AD108" s="94"/>
      <c r="AE108" s="168"/>
      <c r="AF108" s="168"/>
      <c r="AG108" s="173">
        <f t="shared" ca="1" si="273"/>
        <v>62.39</v>
      </c>
      <c r="AH108" s="173">
        <f t="shared" ca="1" si="273"/>
        <v>-23.23</v>
      </c>
      <c r="AI108" s="173">
        <f t="shared" ca="1" si="273"/>
        <v>-27.56</v>
      </c>
      <c r="AJ108" s="109">
        <v>4</v>
      </c>
      <c r="AK108" s="113">
        <f t="shared" ca="1" si="274"/>
        <v>0.62931586206896561</v>
      </c>
      <c r="AL108" s="112">
        <f t="shared" ca="1" si="275"/>
        <v>0.81357586206896559</v>
      </c>
      <c r="AM108" s="112">
        <f t="shared" ca="1" si="276"/>
        <v>0.67577586206896556</v>
      </c>
      <c r="AN108" s="113">
        <f t="shared" ca="1" si="277"/>
        <v>0.24923328124980962</v>
      </c>
      <c r="AO108" s="113">
        <f t="shared" ca="1" si="278"/>
        <v>0.30860860090550563</v>
      </c>
      <c r="AP108" s="113">
        <f t="shared" ca="1" si="279"/>
        <v>0.53851048693271375</v>
      </c>
      <c r="AQ108" s="125">
        <f t="shared" ca="1" si="280"/>
        <v>0.24031072978106643</v>
      </c>
      <c r="AR108" s="113">
        <f t="shared" ca="1" si="281"/>
        <v>0.30860860090550563</v>
      </c>
      <c r="AS108" s="112">
        <f t="shared" ca="1" si="282"/>
        <v>0.44421730067079557</v>
      </c>
      <c r="AT108" s="159"/>
      <c r="AU108" s="255" t="e">
        <f t="shared" ca="1" si="283"/>
        <v>#N/A</v>
      </c>
      <c r="AV108" s="255" t="e">
        <f t="shared" ca="1" si="284"/>
        <v>#N/A</v>
      </c>
      <c r="AW108" s="255" t="e">
        <f t="shared" ca="1" si="285"/>
        <v>#N/A</v>
      </c>
      <c r="AX108" s="255" t="e">
        <f t="shared" ca="1" si="286"/>
        <v>#N/A</v>
      </c>
      <c r="AY108" s="255" t="e">
        <f t="shared" ca="1" si="287"/>
        <v>#N/A</v>
      </c>
      <c r="AZ108" s="255" t="e">
        <f t="shared" ca="1" si="288"/>
        <v>#N/A</v>
      </c>
      <c r="BA108" s="255" t="e">
        <f t="shared" ca="1" si="289"/>
        <v>#N/A</v>
      </c>
      <c r="BB108" s="255" t="e">
        <f t="shared" ca="1" si="290"/>
        <v>#N/A</v>
      </c>
      <c r="BC108" s="255" t="e">
        <f t="shared" ca="1" si="291"/>
        <v>#N/A</v>
      </c>
      <c r="BD108" s="255"/>
      <c r="BE108" s="112" t="e">
        <f t="shared" ca="1" si="292"/>
        <v>#N/A</v>
      </c>
      <c r="BF108" s="112" t="e">
        <f t="shared" ca="1" si="293"/>
        <v>#N/A</v>
      </c>
      <c r="BG108" s="112" t="e">
        <f t="shared" ca="1" si="294"/>
        <v>#N/A</v>
      </c>
      <c r="BH108" s="159"/>
      <c r="BI108" s="112">
        <f t="shared" si="295"/>
        <v>62.39</v>
      </c>
      <c r="BJ108" s="112">
        <f t="shared" si="296"/>
        <v>-23.23</v>
      </c>
      <c r="BK108" s="112">
        <f t="shared" si="297"/>
        <v>-27.56</v>
      </c>
      <c r="BL108" s="255"/>
      <c r="BM108" s="113">
        <f t="shared" si="298"/>
        <v>0.62931586206896561</v>
      </c>
      <c r="BN108" s="112">
        <f t="shared" si="299"/>
        <v>0.81357586206896559</v>
      </c>
      <c r="BO108" s="112">
        <f t="shared" si="300"/>
        <v>0.67577586206896556</v>
      </c>
      <c r="BP108" s="113">
        <f t="shared" si="302"/>
        <v>0.24923328124980962</v>
      </c>
      <c r="BQ108" s="113">
        <f t="shared" si="301"/>
        <v>0.30860860090550563</v>
      </c>
      <c r="BR108" s="113">
        <f t="shared" si="303"/>
        <v>0.53851048693271375</v>
      </c>
      <c r="BS108" s="125">
        <f t="shared" si="304"/>
        <v>0.24031072978106643</v>
      </c>
      <c r="BT108" s="113">
        <f t="shared" si="305"/>
        <v>0.30860860090550563</v>
      </c>
      <c r="BU108" s="112">
        <f t="shared" si="306"/>
        <v>0.44421730067079557</v>
      </c>
      <c r="BV108" s="255"/>
      <c r="BW108" s="255"/>
      <c r="BX108" s="255"/>
      <c r="BY108" s="255"/>
      <c r="BZ108" s="112"/>
      <c r="CA108" s="112"/>
      <c r="CB108" s="112"/>
      <c r="CC108" s="255"/>
      <c r="CD108" s="255"/>
      <c r="CE108" s="255"/>
      <c r="CF108" s="255"/>
      <c r="CG108" s="255"/>
      <c r="CH108" s="255"/>
      <c r="CI108" s="255"/>
      <c r="CJ108" s="255"/>
      <c r="CK108" s="255"/>
      <c r="CL108" s="255"/>
      <c r="CM108" s="255"/>
      <c r="CN108" s="255"/>
      <c r="CO108" s="255"/>
      <c r="CP108" s="255"/>
      <c r="CQ108" s="255"/>
      <c r="CR108" s="255"/>
      <c r="CS108" s="255"/>
      <c r="CT108" s="255"/>
      <c r="CU108" s="255"/>
      <c r="CV108" s="255"/>
      <c r="CW108" s="255"/>
      <c r="CX108" s="255"/>
      <c r="CY108" s="255"/>
      <c r="CZ108" s="255"/>
      <c r="DA108" s="255"/>
      <c r="DB108" s="255"/>
      <c r="DC108" s="255"/>
      <c r="DD108" s="255"/>
      <c r="DE108" s="255"/>
      <c r="DF108" s="255"/>
      <c r="DG108" s="112"/>
      <c r="DH108" s="112"/>
      <c r="DI108" s="112"/>
      <c r="DJ108" s="112"/>
      <c r="DK108" s="255"/>
      <c r="DL108" s="255"/>
      <c r="DM108" s="255"/>
      <c r="DN108" s="255"/>
      <c r="DO108" s="255"/>
      <c r="DP108" s="255"/>
      <c r="DQ108" s="255"/>
      <c r="DR108" s="255"/>
      <c r="DS108" s="255"/>
      <c r="DT108" s="255"/>
      <c r="DU108" s="255"/>
      <c r="DV108" s="255"/>
      <c r="DW108" s="260"/>
      <c r="DX108" s="168"/>
      <c r="DY108" s="168"/>
    </row>
    <row r="109" spans="1:129" s="151" customFormat="1" ht="14" customHeight="1">
      <c r="A109" s="215"/>
      <c r="B109" s="153">
        <f t="shared" ca="1" si="262"/>
        <v>10</v>
      </c>
      <c r="C109" s="154">
        <f t="shared" ca="1" si="263"/>
        <v>40</v>
      </c>
      <c r="D109" s="155">
        <f t="shared" ca="1" si="264"/>
        <v>40</v>
      </c>
      <c r="E109" s="156" t="str">
        <f t="shared" ca="1" si="265"/>
        <v>-</v>
      </c>
      <c r="F109" s="189"/>
      <c r="G109" s="190"/>
      <c r="H109" s="248">
        <v>64.77</v>
      </c>
      <c r="I109" s="249">
        <v>19.41</v>
      </c>
      <c r="J109" s="250">
        <v>17.440000000000001</v>
      </c>
      <c r="K109" s="177"/>
      <c r="L109" s="102">
        <f t="shared" ca="1" si="266"/>
        <v>64.77</v>
      </c>
      <c r="M109" s="95">
        <f t="shared" ca="1" si="267"/>
        <v>19.41</v>
      </c>
      <c r="N109" s="205">
        <f t="shared" ca="1" si="268"/>
        <v>17.440000000000001</v>
      </c>
      <c r="O109" s="215"/>
      <c r="P109" s="157">
        <f t="shared" ca="1" si="269"/>
        <v>0</v>
      </c>
      <c r="Q109" s="215"/>
      <c r="R109" s="289">
        <f t="shared" ca="1" si="270"/>
        <v>0</v>
      </c>
      <c r="S109" s="290"/>
      <c r="T109" s="148"/>
      <c r="U109" s="291">
        <f t="shared" ca="1" si="271"/>
        <v>0</v>
      </c>
      <c r="V109" s="292"/>
      <c r="W109" s="23"/>
      <c r="X109" s="291">
        <f t="shared" ca="1" si="272"/>
        <v>0</v>
      </c>
      <c r="Y109" s="292"/>
      <c r="Z109" s="94"/>
      <c r="AA109" s="94"/>
      <c r="AB109" s="94"/>
      <c r="AC109" s="94"/>
      <c r="AD109" s="94"/>
      <c r="AE109" s="168"/>
      <c r="AF109" s="168"/>
      <c r="AG109" s="173">
        <f t="shared" ca="1" si="273"/>
        <v>35</v>
      </c>
      <c r="AH109" s="173">
        <f t="shared" ca="1" si="273"/>
        <v>9</v>
      </c>
      <c r="AI109" s="173">
        <f t="shared" ca="1" si="273"/>
        <v>-32</v>
      </c>
      <c r="AJ109" s="109">
        <v>5</v>
      </c>
      <c r="AK109" s="113">
        <f t="shared" ca="1" si="274"/>
        <v>0.45765517241379311</v>
      </c>
      <c r="AL109" s="112">
        <f t="shared" ca="1" si="275"/>
        <v>0.59965517241379307</v>
      </c>
      <c r="AM109" s="112">
        <f t="shared" ca="1" si="276"/>
        <v>0.43965517241379309</v>
      </c>
      <c r="AN109" s="113">
        <f t="shared" ca="1" si="277"/>
        <v>9.5855078094550822E-2</v>
      </c>
      <c r="AO109" s="113">
        <f t="shared" ca="1" si="278"/>
        <v>8.4983881052933696E-2</v>
      </c>
      <c r="AP109" s="113">
        <f t="shared" ca="1" si="279"/>
        <v>0.21562780019680999</v>
      </c>
      <c r="AQ109" s="125">
        <f t="shared" ca="1" si="280"/>
        <v>9.2423466298765897E-2</v>
      </c>
      <c r="AR109" s="113">
        <f t="shared" ca="1" si="281"/>
        <v>8.4983881052933696E-2</v>
      </c>
      <c r="AS109" s="112">
        <f t="shared" ca="1" si="282"/>
        <v>0.17787137238234857</v>
      </c>
      <c r="AT109" s="159"/>
      <c r="AU109" s="255" t="e">
        <f t="shared" ca="1" si="283"/>
        <v>#N/A</v>
      </c>
      <c r="AV109" s="255" t="e">
        <f t="shared" ca="1" si="284"/>
        <v>#N/A</v>
      </c>
      <c r="AW109" s="255" t="e">
        <f t="shared" ca="1" si="285"/>
        <v>#N/A</v>
      </c>
      <c r="AX109" s="255" t="e">
        <f t="shared" ca="1" si="286"/>
        <v>#N/A</v>
      </c>
      <c r="AY109" s="255" t="e">
        <f t="shared" ca="1" si="287"/>
        <v>#N/A</v>
      </c>
      <c r="AZ109" s="255" t="e">
        <f t="shared" ca="1" si="288"/>
        <v>#N/A</v>
      </c>
      <c r="BA109" s="255" t="e">
        <f t="shared" ca="1" si="289"/>
        <v>#N/A</v>
      </c>
      <c r="BB109" s="255" t="e">
        <f t="shared" ca="1" si="290"/>
        <v>#N/A</v>
      </c>
      <c r="BC109" s="255" t="e">
        <f t="shared" ca="1" si="291"/>
        <v>#N/A</v>
      </c>
      <c r="BD109" s="255"/>
      <c r="BE109" s="112" t="e">
        <f t="shared" ca="1" si="292"/>
        <v>#N/A</v>
      </c>
      <c r="BF109" s="112" t="e">
        <f t="shared" ca="1" si="293"/>
        <v>#N/A</v>
      </c>
      <c r="BG109" s="112" t="e">
        <f t="shared" ca="1" si="294"/>
        <v>#N/A</v>
      </c>
      <c r="BH109" s="174"/>
      <c r="BI109" s="112">
        <f t="shared" si="295"/>
        <v>35</v>
      </c>
      <c r="BJ109" s="112">
        <f t="shared" si="296"/>
        <v>9</v>
      </c>
      <c r="BK109" s="112">
        <f t="shared" si="297"/>
        <v>-32</v>
      </c>
      <c r="BL109" s="255"/>
      <c r="BM109" s="113">
        <f t="shared" si="298"/>
        <v>0.45765517241379311</v>
      </c>
      <c r="BN109" s="112">
        <f t="shared" si="299"/>
        <v>0.59965517241379307</v>
      </c>
      <c r="BO109" s="112">
        <f t="shared" si="300"/>
        <v>0.43965517241379309</v>
      </c>
      <c r="BP109" s="113">
        <f t="shared" si="302"/>
        <v>9.5855078094550822E-2</v>
      </c>
      <c r="BQ109" s="113">
        <f t="shared" si="301"/>
        <v>8.4983881052933696E-2</v>
      </c>
      <c r="BR109" s="113">
        <f t="shared" si="303"/>
        <v>0.21562780019680999</v>
      </c>
      <c r="BS109" s="125">
        <f t="shared" si="304"/>
        <v>9.2423466298765897E-2</v>
      </c>
      <c r="BT109" s="113">
        <f t="shared" si="305"/>
        <v>8.4983881052933696E-2</v>
      </c>
      <c r="BU109" s="112">
        <f t="shared" si="306"/>
        <v>0.17787137238234857</v>
      </c>
      <c r="BV109" s="255"/>
      <c r="BW109" s="255"/>
      <c r="BX109" s="255"/>
      <c r="BY109" s="255"/>
      <c r="BZ109" s="112" t="s">
        <v>96</v>
      </c>
      <c r="CA109" s="128" t="s">
        <v>103</v>
      </c>
      <c r="CB109" s="112" t="s">
        <v>104</v>
      </c>
      <c r="CC109" s="255"/>
      <c r="CD109" s="174"/>
      <c r="CE109" s="174"/>
      <c r="CF109" s="174"/>
      <c r="CG109" s="174"/>
      <c r="CH109" s="174"/>
      <c r="CI109" s="255"/>
      <c r="CJ109" s="255"/>
      <c r="CK109" s="255"/>
      <c r="CL109" s="174"/>
      <c r="CM109" s="174"/>
      <c r="CN109" s="174"/>
      <c r="CO109" s="174"/>
      <c r="CP109" s="174"/>
      <c r="CQ109" s="174"/>
      <c r="CR109" s="174"/>
      <c r="CS109" s="174"/>
      <c r="CT109" s="174"/>
      <c r="CU109" s="174"/>
      <c r="CV109" s="174"/>
      <c r="CW109" s="174"/>
      <c r="CX109" s="174"/>
      <c r="CY109" s="174"/>
      <c r="CZ109" s="174"/>
      <c r="DA109" s="174"/>
      <c r="DB109" s="174"/>
      <c r="DC109" s="174"/>
      <c r="DD109" s="174"/>
      <c r="DE109" s="174"/>
      <c r="DF109" s="174"/>
      <c r="DG109" s="129"/>
      <c r="DH109" s="129"/>
      <c r="DI109" s="129"/>
      <c r="DJ109" s="129"/>
      <c r="DK109" s="174"/>
      <c r="DL109" s="174"/>
      <c r="DM109" s="174"/>
      <c r="DN109" s="174"/>
      <c r="DO109" s="174"/>
      <c r="DP109" s="174"/>
      <c r="DQ109" s="174"/>
      <c r="DR109" s="174"/>
      <c r="DS109" s="174"/>
      <c r="DT109" s="255"/>
      <c r="DU109" s="255"/>
      <c r="DV109" s="255"/>
      <c r="DW109" s="260"/>
      <c r="DX109" s="168"/>
      <c r="DY109" s="168"/>
    </row>
    <row r="110" spans="1:129" s="151" customFormat="1" ht="14" customHeight="1">
      <c r="A110" s="215"/>
      <c r="B110" s="153">
        <f t="shared" ca="1" si="262"/>
        <v>40</v>
      </c>
      <c r="C110" s="154">
        <f t="shared" ca="1" si="263"/>
        <v>10</v>
      </c>
      <c r="D110" s="155">
        <f t="shared" ca="1" si="264"/>
        <v>40</v>
      </c>
      <c r="E110" s="156" t="str">
        <f t="shared" ca="1" si="265"/>
        <v>-</v>
      </c>
      <c r="F110" s="189"/>
      <c r="G110" s="190"/>
      <c r="H110" s="248">
        <v>66.64</v>
      </c>
      <c r="I110" s="249">
        <v>-13.27</v>
      </c>
      <c r="J110" s="250">
        <v>11.92</v>
      </c>
      <c r="K110" s="177"/>
      <c r="L110" s="102">
        <f t="shared" ca="1" si="266"/>
        <v>66.64</v>
      </c>
      <c r="M110" s="95">
        <f t="shared" ca="1" si="267"/>
        <v>-13.27</v>
      </c>
      <c r="N110" s="205">
        <f t="shared" ca="1" si="268"/>
        <v>11.92</v>
      </c>
      <c r="O110" s="215"/>
      <c r="P110" s="157">
        <f t="shared" ca="1" si="269"/>
        <v>0</v>
      </c>
      <c r="Q110" s="215"/>
      <c r="R110" s="289">
        <f t="shared" ca="1" si="270"/>
        <v>0</v>
      </c>
      <c r="S110" s="290"/>
      <c r="T110" s="148"/>
      <c r="U110" s="291">
        <f t="shared" ca="1" si="271"/>
        <v>0</v>
      </c>
      <c r="V110" s="292"/>
      <c r="W110" s="23"/>
      <c r="X110" s="291">
        <f t="shared" ca="1" si="272"/>
        <v>0</v>
      </c>
      <c r="Y110" s="292"/>
      <c r="Z110" s="94"/>
      <c r="AA110" s="94"/>
      <c r="AB110" s="94"/>
      <c r="AC110" s="94"/>
      <c r="AD110" s="94"/>
      <c r="AE110" s="168"/>
      <c r="AF110" s="168"/>
      <c r="AG110" s="173">
        <f t="shared" ca="1" si="273"/>
        <v>31.24</v>
      </c>
      <c r="AH110" s="173">
        <f t="shared" ca="1" si="273"/>
        <v>9.84</v>
      </c>
      <c r="AI110" s="173">
        <f t="shared" ca="1" si="273"/>
        <v>-20.71</v>
      </c>
      <c r="AJ110" s="109">
        <v>6</v>
      </c>
      <c r="AK110" s="113">
        <f t="shared" ca="1" si="274"/>
        <v>0.42692137931034474</v>
      </c>
      <c r="AL110" s="112">
        <f t="shared" ca="1" si="275"/>
        <v>0.5107913793103448</v>
      </c>
      <c r="AM110" s="112">
        <f t="shared" ca="1" si="276"/>
        <v>0.40724137931034476</v>
      </c>
      <c r="AN110" s="113">
        <f t="shared" ca="1" si="277"/>
        <v>7.7811486422475221E-2</v>
      </c>
      <c r="AO110" s="113">
        <f t="shared" ca="1" si="278"/>
        <v>6.7539166878510776E-2</v>
      </c>
      <c r="AP110" s="113">
        <f t="shared" ca="1" si="279"/>
        <v>0.13326947198174369</v>
      </c>
      <c r="AQ110" s="125">
        <f t="shared" ca="1" si="280"/>
        <v>7.5025835208550606E-2</v>
      </c>
      <c r="AR110" s="113">
        <f t="shared" ca="1" si="281"/>
        <v>6.7539166878510776E-2</v>
      </c>
      <c r="AS110" s="112">
        <f t="shared" ca="1" si="282"/>
        <v>0.10993398743774037</v>
      </c>
      <c r="AT110" s="159"/>
      <c r="AU110" s="255" t="e">
        <f t="shared" ca="1" si="283"/>
        <v>#N/A</v>
      </c>
      <c r="AV110" s="255" t="e">
        <f t="shared" ca="1" si="284"/>
        <v>#N/A</v>
      </c>
      <c r="AW110" s="255" t="e">
        <f t="shared" ca="1" si="285"/>
        <v>#N/A</v>
      </c>
      <c r="AX110" s="255" t="e">
        <f t="shared" ca="1" si="286"/>
        <v>#N/A</v>
      </c>
      <c r="AY110" s="255" t="e">
        <f t="shared" ca="1" si="287"/>
        <v>#N/A</v>
      </c>
      <c r="AZ110" s="255" t="e">
        <f t="shared" ca="1" si="288"/>
        <v>#N/A</v>
      </c>
      <c r="BA110" s="255" t="e">
        <f t="shared" ca="1" si="289"/>
        <v>#N/A</v>
      </c>
      <c r="BB110" s="255" t="e">
        <f t="shared" ca="1" si="290"/>
        <v>#N/A</v>
      </c>
      <c r="BC110" s="255" t="e">
        <f t="shared" ca="1" si="291"/>
        <v>#N/A</v>
      </c>
      <c r="BD110" s="255"/>
      <c r="BE110" s="112" t="e">
        <f t="shared" ca="1" si="292"/>
        <v>#N/A</v>
      </c>
      <c r="BF110" s="112" t="e">
        <f t="shared" ca="1" si="293"/>
        <v>#N/A</v>
      </c>
      <c r="BG110" s="112" t="e">
        <f t="shared" ca="1" si="294"/>
        <v>#N/A</v>
      </c>
      <c r="BH110" s="159"/>
      <c r="BI110" s="112">
        <f t="shared" si="295"/>
        <v>31.24</v>
      </c>
      <c r="BJ110" s="112">
        <f t="shared" si="296"/>
        <v>9.84</v>
      </c>
      <c r="BK110" s="112">
        <f t="shared" si="297"/>
        <v>-20.71</v>
      </c>
      <c r="BL110" s="255"/>
      <c r="BM110" s="113">
        <f t="shared" si="298"/>
        <v>0.42692137931034474</v>
      </c>
      <c r="BN110" s="112">
        <f t="shared" si="299"/>
        <v>0.5107913793103448</v>
      </c>
      <c r="BO110" s="112">
        <f t="shared" si="300"/>
        <v>0.40724137931034476</v>
      </c>
      <c r="BP110" s="113">
        <f t="shared" si="302"/>
        <v>7.7811486422475221E-2</v>
      </c>
      <c r="BQ110" s="113">
        <f t="shared" si="301"/>
        <v>6.7539166878510776E-2</v>
      </c>
      <c r="BR110" s="113">
        <f t="shared" si="303"/>
        <v>0.13326947198174369</v>
      </c>
      <c r="BS110" s="125">
        <f t="shared" si="304"/>
        <v>7.5025835208550606E-2</v>
      </c>
      <c r="BT110" s="113">
        <f t="shared" si="305"/>
        <v>6.7539166878510776E-2</v>
      </c>
      <c r="BU110" s="112">
        <f t="shared" si="306"/>
        <v>0.10993398743774037</v>
      </c>
      <c r="BV110" s="255"/>
      <c r="BW110" s="282" t="s">
        <v>257</v>
      </c>
      <c r="BX110" s="283"/>
      <c r="BY110" s="196" t="s">
        <v>260</v>
      </c>
      <c r="BZ110" s="112" t="e">
        <f>IF(BW110=BW129,MIN(AQ105:AQ188),VLOOKUP(B28,BW117:CA124,3,FALSE))</f>
        <v>#N/A</v>
      </c>
      <c r="CA110" s="112" t="e">
        <f>IF(BW110=BW129,VLOOKUP($BZ110,$AQ$105:$AS$188,2,FALSE),VLOOKUP(B28,BW117:CA124,4,FALSE))</f>
        <v>#N/A</v>
      </c>
      <c r="CB110" s="112" t="e">
        <f>IF(BW110=BW129,VLOOKUP($BZ110,$AQ$105:$AS$188,3,FALSE),VLOOKUP(B28,BW117:CA124,5,FALSE))</f>
        <v>#N/A</v>
      </c>
      <c r="CC110" s="255"/>
      <c r="CD110" s="255"/>
      <c r="CE110" s="255"/>
      <c r="CF110" s="255"/>
      <c r="CG110" s="255"/>
      <c r="CH110" s="255"/>
      <c r="CI110" s="255"/>
      <c r="CJ110" s="255"/>
      <c r="CK110" s="255"/>
      <c r="CL110" s="255"/>
      <c r="CM110" s="255"/>
      <c r="CN110" s="255"/>
      <c r="CO110" s="255"/>
      <c r="CP110" s="255"/>
      <c r="CQ110" s="255"/>
      <c r="CR110" s="255"/>
      <c r="CS110" s="255"/>
      <c r="CT110" s="255"/>
      <c r="CU110" s="255"/>
      <c r="CV110" s="255"/>
      <c r="CW110" s="255"/>
      <c r="CX110" s="255"/>
      <c r="CY110" s="255"/>
      <c r="CZ110" s="255"/>
      <c r="DA110" s="255"/>
      <c r="DB110" s="255"/>
      <c r="DC110" s="255"/>
      <c r="DD110" s="255"/>
      <c r="DE110" s="255"/>
      <c r="DF110" s="255"/>
      <c r="DG110" s="112"/>
      <c r="DH110" s="112"/>
      <c r="DI110" s="112"/>
      <c r="DJ110" s="112"/>
      <c r="DK110" s="255"/>
      <c r="DL110" s="255"/>
      <c r="DM110" s="255"/>
      <c r="DN110" s="255"/>
      <c r="DO110" s="255"/>
      <c r="DP110" s="255"/>
      <c r="DQ110" s="255"/>
      <c r="DR110" s="255"/>
      <c r="DS110" s="255"/>
      <c r="DT110" s="255"/>
      <c r="DU110" s="255"/>
      <c r="DV110" s="255"/>
      <c r="DW110" s="260"/>
      <c r="DX110" s="168"/>
      <c r="DY110" s="168"/>
    </row>
    <row r="111" spans="1:129" s="151" customFormat="1" ht="14" customHeight="1">
      <c r="A111" s="215"/>
      <c r="B111" s="153">
        <f t="shared" ca="1" si="262"/>
        <v>100</v>
      </c>
      <c r="C111" s="154">
        <f t="shared" ca="1" si="263"/>
        <v>40</v>
      </c>
      <c r="D111" s="155" t="str">
        <f t="shared" ca="1" si="264"/>
        <v>-</v>
      </c>
      <c r="E111" s="156" t="str">
        <f t="shared" ca="1" si="265"/>
        <v>-</v>
      </c>
      <c r="F111" s="189"/>
      <c r="G111" s="190"/>
      <c r="H111" s="248">
        <v>48.08</v>
      </c>
      <c r="I111" s="249">
        <v>-8.75</v>
      </c>
      <c r="J111" s="250">
        <v>-33.590000000000003</v>
      </c>
      <c r="K111" s="177"/>
      <c r="L111" s="102">
        <f t="shared" ca="1" si="266"/>
        <v>48.08</v>
      </c>
      <c r="M111" s="95">
        <f t="shared" ca="1" si="267"/>
        <v>-8.75</v>
      </c>
      <c r="N111" s="205">
        <f t="shared" ca="1" si="268"/>
        <v>-33.590000000000003</v>
      </c>
      <c r="O111" s="215"/>
      <c r="P111" s="157">
        <f t="shared" ca="1" si="269"/>
        <v>0</v>
      </c>
      <c r="Q111" s="215"/>
      <c r="R111" s="289">
        <f t="shared" ca="1" si="270"/>
        <v>0</v>
      </c>
      <c r="S111" s="290"/>
      <c r="T111" s="148"/>
      <c r="U111" s="291">
        <f t="shared" ca="1" si="271"/>
        <v>0</v>
      </c>
      <c r="V111" s="292"/>
      <c r="W111" s="23"/>
      <c r="X111" s="291">
        <f t="shared" ca="1" si="272"/>
        <v>0</v>
      </c>
      <c r="Y111" s="292"/>
      <c r="Z111" s="94"/>
      <c r="AA111" s="94"/>
      <c r="AB111" s="94"/>
      <c r="AC111" s="94"/>
      <c r="AD111" s="94"/>
      <c r="AE111" s="168"/>
      <c r="AF111" s="168"/>
      <c r="AG111" s="173">
        <f t="shared" ca="1" si="273"/>
        <v>69.95</v>
      </c>
      <c r="AH111" s="173">
        <f t="shared" ca="1" si="273"/>
        <v>-16.27</v>
      </c>
      <c r="AI111" s="173">
        <f t="shared" ca="1" si="273"/>
        <v>-18.39</v>
      </c>
      <c r="AJ111" s="109">
        <v>7</v>
      </c>
      <c r="AK111" s="113">
        <f t="shared" ca="1" si="274"/>
        <v>0.708408275862069</v>
      </c>
      <c r="AL111" s="112">
        <f t="shared" ca="1" si="275"/>
        <v>0.83289827586206899</v>
      </c>
      <c r="AM111" s="112">
        <f t="shared" ca="1" si="276"/>
        <v>0.74094827586206902</v>
      </c>
      <c r="AN111" s="113">
        <f t="shared" ca="1" si="277"/>
        <v>0.35550922809104502</v>
      </c>
      <c r="AO111" s="113">
        <f t="shared" ca="1" si="278"/>
        <v>0.40678382472310787</v>
      </c>
      <c r="AP111" s="113">
        <f t="shared" ca="1" si="279"/>
        <v>0.57779780707706574</v>
      </c>
      <c r="AQ111" s="125">
        <f t="shared" ca="1" si="280"/>
        <v>0.34278199772538559</v>
      </c>
      <c r="AR111" s="113">
        <f t="shared" ca="1" si="281"/>
        <v>0.40678382472310787</v>
      </c>
      <c r="AS111" s="112">
        <f t="shared" ca="1" si="282"/>
        <v>0.47662541105787148</v>
      </c>
      <c r="AT111" s="159"/>
      <c r="AU111" s="255" t="e">
        <f t="shared" ca="1" si="283"/>
        <v>#N/A</v>
      </c>
      <c r="AV111" s="255" t="e">
        <f t="shared" ca="1" si="284"/>
        <v>#N/A</v>
      </c>
      <c r="AW111" s="255" t="e">
        <f t="shared" ca="1" si="285"/>
        <v>#N/A</v>
      </c>
      <c r="AX111" s="255" t="e">
        <f t="shared" ca="1" si="286"/>
        <v>#N/A</v>
      </c>
      <c r="AY111" s="255" t="e">
        <f t="shared" ca="1" si="287"/>
        <v>#N/A</v>
      </c>
      <c r="AZ111" s="255" t="e">
        <f t="shared" ca="1" si="288"/>
        <v>#N/A</v>
      </c>
      <c r="BA111" s="255" t="e">
        <f t="shared" ca="1" si="289"/>
        <v>#N/A</v>
      </c>
      <c r="BB111" s="255" t="e">
        <f t="shared" ca="1" si="290"/>
        <v>#N/A</v>
      </c>
      <c r="BC111" s="255" t="e">
        <f t="shared" ca="1" si="291"/>
        <v>#N/A</v>
      </c>
      <c r="BD111" s="255"/>
      <c r="BE111" s="112" t="e">
        <f t="shared" ca="1" si="292"/>
        <v>#N/A</v>
      </c>
      <c r="BF111" s="112" t="e">
        <f t="shared" ca="1" si="293"/>
        <v>#N/A</v>
      </c>
      <c r="BG111" s="112" t="e">
        <f t="shared" ca="1" si="294"/>
        <v>#N/A</v>
      </c>
      <c r="BH111" s="159"/>
      <c r="BI111" s="112">
        <f t="shared" si="295"/>
        <v>69.95</v>
      </c>
      <c r="BJ111" s="112">
        <f t="shared" si="296"/>
        <v>-16.27</v>
      </c>
      <c r="BK111" s="112">
        <f t="shared" si="297"/>
        <v>-18.39</v>
      </c>
      <c r="BL111" s="174"/>
      <c r="BM111" s="113">
        <f t="shared" si="298"/>
        <v>0.708408275862069</v>
      </c>
      <c r="BN111" s="112">
        <f t="shared" si="299"/>
        <v>0.83289827586206899</v>
      </c>
      <c r="BO111" s="112">
        <f t="shared" si="300"/>
        <v>0.74094827586206902</v>
      </c>
      <c r="BP111" s="113">
        <f t="shared" si="302"/>
        <v>0.35550922809104502</v>
      </c>
      <c r="BQ111" s="113">
        <f t="shared" si="301"/>
        <v>0.40678382472310787</v>
      </c>
      <c r="BR111" s="113">
        <f t="shared" si="303"/>
        <v>0.57779780707706574</v>
      </c>
      <c r="BS111" s="125">
        <f t="shared" si="304"/>
        <v>0.34278199772538559</v>
      </c>
      <c r="BT111" s="113">
        <f t="shared" si="305"/>
        <v>0.40678382472310787</v>
      </c>
      <c r="BU111" s="112">
        <f t="shared" si="306"/>
        <v>0.47662541105787148</v>
      </c>
      <c r="BV111" s="255"/>
      <c r="BW111" s="255"/>
      <c r="BX111" s="255"/>
      <c r="BY111" s="112"/>
      <c r="BZ111" s="112" t="s">
        <v>122</v>
      </c>
      <c r="CA111" s="112" t="s">
        <v>123</v>
      </c>
      <c r="CB111" s="112" t="s">
        <v>124</v>
      </c>
      <c r="CC111" s="255"/>
      <c r="CD111" s="255"/>
      <c r="CE111" s="255"/>
      <c r="CF111" s="255"/>
      <c r="CG111" s="255"/>
      <c r="CH111" s="255"/>
      <c r="CI111" s="255"/>
      <c r="CJ111" s="255"/>
      <c r="CK111" s="255"/>
      <c r="CL111" s="255"/>
      <c r="CM111" s="255"/>
      <c r="CN111" s="255"/>
      <c r="CO111" s="255"/>
      <c r="CP111" s="255"/>
      <c r="CQ111" s="255"/>
      <c r="CR111" s="255"/>
      <c r="CS111" s="255"/>
      <c r="CT111" s="255"/>
      <c r="CU111" s="255"/>
      <c r="CV111" s="255"/>
      <c r="CW111" s="255"/>
      <c r="CX111" s="255"/>
      <c r="CY111" s="255"/>
      <c r="CZ111" s="255"/>
      <c r="DA111" s="255"/>
      <c r="DB111" s="255"/>
      <c r="DC111" s="255"/>
      <c r="DD111" s="255"/>
      <c r="DE111" s="255"/>
      <c r="DF111" s="255"/>
      <c r="DG111" s="112"/>
      <c r="DH111" s="112"/>
      <c r="DI111" s="112"/>
      <c r="DJ111" s="112"/>
      <c r="DK111" s="255"/>
      <c r="DL111" s="255"/>
      <c r="DM111" s="255"/>
      <c r="DN111" s="255"/>
      <c r="DO111" s="255"/>
      <c r="DP111" s="255"/>
      <c r="DQ111" s="255"/>
      <c r="DR111" s="255"/>
      <c r="DS111" s="255"/>
      <c r="DT111" s="255"/>
      <c r="DU111" s="255"/>
      <c r="DV111" s="255"/>
      <c r="DW111" s="260"/>
      <c r="DX111" s="168"/>
      <c r="DY111" s="168"/>
    </row>
    <row r="112" spans="1:129" s="151" customFormat="1" ht="14" customHeight="1">
      <c r="A112" s="215"/>
      <c r="B112" s="153" t="str">
        <f t="shared" ca="1" si="262"/>
        <v>-</v>
      </c>
      <c r="C112" s="154">
        <f t="shared" ca="1" si="263"/>
        <v>100</v>
      </c>
      <c r="D112" s="155">
        <f t="shared" ca="1" si="264"/>
        <v>40</v>
      </c>
      <c r="E112" s="156" t="str">
        <f t="shared" ca="1" si="265"/>
        <v>-</v>
      </c>
      <c r="F112" s="189"/>
      <c r="G112" s="190"/>
      <c r="H112" s="248">
        <v>52.06</v>
      </c>
      <c r="I112" s="249">
        <v>56.18</v>
      </c>
      <c r="J112" s="250">
        <v>12.52</v>
      </c>
      <c r="K112" s="177"/>
      <c r="L112" s="102">
        <f t="shared" ca="1" si="266"/>
        <v>52.06</v>
      </c>
      <c r="M112" s="95">
        <f t="shared" ca="1" si="267"/>
        <v>56.18</v>
      </c>
      <c r="N112" s="205">
        <f t="shared" ca="1" si="268"/>
        <v>12.52</v>
      </c>
      <c r="O112" s="215"/>
      <c r="P112" s="157">
        <f t="shared" ca="1" si="269"/>
        <v>0</v>
      </c>
      <c r="Q112" s="215"/>
      <c r="R112" s="289">
        <f t="shared" ca="1" si="270"/>
        <v>0</v>
      </c>
      <c r="S112" s="290"/>
      <c r="T112" s="148"/>
      <c r="U112" s="291">
        <f t="shared" ca="1" si="271"/>
        <v>0</v>
      </c>
      <c r="V112" s="292"/>
      <c r="W112" s="23"/>
      <c r="X112" s="291">
        <f t="shared" ca="1" si="272"/>
        <v>0</v>
      </c>
      <c r="Y112" s="292"/>
      <c r="Z112" s="94"/>
      <c r="AA112" s="94"/>
      <c r="AB112" s="94"/>
      <c r="AC112" s="94"/>
      <c r="AD112" s="94"/>
      <c r="AE112" s="168"/>
      <c r="AF112" s="168"/>
      <c r="AG112" s="173">
        <f t="shared" ca="1" si="273"/>
        <v>43.4</v>
      </c>
      <c r="AH112" s="173">
        <f t="shared" ca="1" si="273"/>
        <v>12.58</v>
      </c>
      <c r="AI112" s="173">
        <f t="shared" ca="1" si="273"/>
        <v>-28.04</v>
      </c>
      <c r="AJ112" s="109">
        <v>8</v>
      </c>
      <c r="AK112" s="113">
        <f t="shared" ca="1" si="274"/>
        <v>0.53722896551724131</v>
      </c>
      <c r="AL112" s="112">
        <f t="shared" ca="1" si="275"/>
        <v>0.65226896551724134</v>
      </c>
      <c r="AM112" s="112">
        <f t="shared" ca="1" si="276"/>
        <v>0.51206896551724135</v>
      </c>
      <c r="AN112" s="113">
        <f t="shared" ca="1" si="277"/>
        <v>0.15505231714073786</v>
      </c>
      <c r="AO112" s="113">
        <f t="shared" ca="1" si="278"/>
        <v>0.13427197199557173</v>
      </c>
      <c r="AP112" s="113">
        <f t="shared" ca="1" si="279"/>
        <v>0.27751096447301282</v>
      </c>
      <c r="AQ112" s="125">
        <f t="shared" ca="1" si="280"/>
        <v>0.14950144418709943</v>
      </c>
      <c r="AR112" s="113">
        <f t="shared" ca="1" si="281"/>
        <v>0.13427197199557173</v>
      </c>
      <c r="AS112" s="112">
        <f t="shared" ca="1" si="282"/>
        <v>0.22891879459378828</v>
      </c>
      <c r="AT112" s="159"/>
      <c r="AU112" s="255" t="e">
        <f t="shared" ca="1" si="283"/>
        <v>#N/A</v>
      </c>
      <c r="AV112" s="255" t="e">
        <f t="shared" ca="1" si="284"/>
        <v>#N/A</v>
      </c>
      <c r="AW112" s="255" t="e">
        <f t="shared" ca="1" si="285"/>
        <v>#N/A</v>
      </c>
      <c r="AX112" s="255" t="e">
        <f t="shared" ca="1" si="286"/>
        <v>#N/A</v>
      </c>
      <c r="AY112" s="255" t="e">
        <f t="shared" ca="1" si="287"/>
        <v>#N/A</v>
      </c>
      <c r="AZ112" s="255" t="e">
        <f t="shared" ca="1" si="288"/>
        <v>#N/A</v>
      </c>
      <c r="BA112" s="255" t="e">
        <f t="shared" ca="1" si="289"/>
        <v>#N/A</v>
      </c>
      <c r="BB112" s="255" t="e">
        <f t="shared" ca="1" si="290"/>
        <v>#N/A</v>
      </c>
      <c r="BC112" s="255" t="e">
        <f t="shared" ca="1" si="291"/>
        <v>#N/A</v>
      </c>
      <c r="BD112" s="255"/>
      <c r="BE112" s="112" t="e">
        <f t="shared" ca="1" si="292"/>
        <v>#N/A</v>
      </c>
      <c r="BF112" s="112" t="e">
        <f t="shared" ca="1" si="293"/>
        <v>#N/A</v>
      </c>
      <c r="BG112" s="112" t="e">
        <f t="shared" ca="1" si="294"/>
        <v>#N/A</v>
      </c>
      <c r="BH112" s="159"/>
      <c r="BI112" s="112">
        <f t="shared" si="295"/>
        <v>43.4</v>
      </c>
      <c r="BJ112" s="112">
        <f t="shared" si="296"/>
        <v>12.58</v>
      </c>
      <c r="BK112" s="112">
        <f t="shared" si="297"/>
        <v>-28.04</v>
      </c>
      <c r="BL112" s="255"/>
      <c r="BM112" s="113">
        <f t="shared" si="298"/>
        <v>0.53722896551724131</v>
      </c>
      <c r="BN112" s="112">
        <f t="shared" si="299"/>
        <v>0.65226896551724134</v>
      </c>
      <c r="BO112" s="112">
        <f t="shared" si="300"/>
        <v>0.51206896551724135</v>
      </c>
      <c r="BP112" s="113">
        <f t="shared" si="302"/>
        <v>0.15505231714073786</v>
      </c>
      <c r="BQ112" s="113">
        <f t="shared" si="301"/>
        <v>0.13427197199557173</v>
      </c>
      <c r="BR112" s="113">
        <f t="shared" si="303"/>
        <v>0.27751096447301282</v>
      </c>
      <c r="BS112" s="125">
        <f t="shared" si="304"/>
        <v>0.14950144418709943</v>
      </c>
      <c r="BT112" s="113">
        <f t="shared" si="305"/>
        <v>0.13427197199557173</v>
      </c>
      <c r="BU112" s="112">
        <f t="shared" si="306"/>
        <v>0.22891879459378828</v>
      </c>
      <c r="BV112" s="255"/>
      <c r="BW112" s="174"/>
      <c r="BX112" s="174"/>
      <c r="BY112" s="112"/>
      <c r="BZ112" s="112" t="e">
        <f ca="1">(BZ107-BZ105)/(BZ105-BZ110)</f>
        <v>#N/A</v>
      </c>
      <c r="CA112" s="112" t="e">
        <f ca="1">(CA107-CA105)/(CA105-CA110)</f>
        <v>#N/A</v>
      </c>
      <c r="CB112" s="112" t="e">
        <f ca="1">(CB107-CB105)/(CB105-CB110)</f>
        <v>#N/A</v>
      </c>
      <c r="CC112" s="255"/>
      <c r="CD112" s="255"/>
      <c r="CE112" s="255"/>
      <c r="CF112" s="255"/>
      <c r="CG112" s="255"/>
      <c r="CH112" s="255"/>
      <c r="CI112" s="255"/>
      <c r="CJ112" s="255"/>
      <c r="CK112" s="255"/>
      <c r="CL112" s="255"/>
      <c r="CM112" s="255"/>
      <c r="CN112" s="255"/>
      <c r="CO112" s="255"/>
      <c r="CP112" s="255"/>
      <c r="CQ112" s="255"/>
      <c r="CR112" s="255"/>
      <c r="CS112" s="255"/>
      <c r="CT112" s="255"/>
      <c r="CU112" s="255"/>
      <c r="CV112" s="255"/>
      <c r="CW112" s="255"/>
      <c r="CX112" s="255"/>
      <c r="CY112" s="255"/>
      <c r="CZ112" s="255"/>
      <c r="DA112" s="255"/>
      <c r="DB112" s="255"/>
      <c r="DC112" s="255"/>
      <c r="DD112" s="255"/>
      <c r="DE112" s="255"/>
      <c r="DF112" s="255"/>
      <c r="DG112" s="112"/>
      <c r="DH112" s="112"/>
      <c r="DI112" s="112"/>
      <c r="DJ112" s="112"/>
      <c r="DK112" s="255"/>
      <c r="DL112" s="255"/>
      <c r="DM112" s="255"/>
      <c r="DN112" s="255"/>
      <c r="DO112" s="255"/>
      <c r="DP112" s="255"/>
      <c r="DQ112" s="255"/>
      <c r="DR112" s="255"/>
      <c r="DS112" s="255"/>
      <c r="DT112" s="255"/>
      <c r="DU112" s="255"/>
      <c r="DV112" s="255"/>
      <c r="DW112" s="260"/>
      <c r="DX112" s="168"/>
      <c r="DY112" s="168"/>
    </row>
    <row r="113" spans="1:129" s="151" customFormat="1" ht="14" customHeight="1">
      <c r="A113" s="215"/>
      <c r="B113" s="153">
        <f t="shared" ca="1" si="262"/>
        <v>40</v>
      </c>
      <c r="C113" s="154" t="str">
        <f t="shared" ca="1" si="263"/>
        <v>-</v>
      </c>
      <c r="D113" s="155">
        <f t="shared" ca="1" si="264"/>
        <v>100</v>
      </c>
      <c r="E113" s="156" t="str">
        <f t="shared" ca="1" si="265"/>
        <v>-</v>
      </c>
      <c r="F113" s="189"/>
      <c r="G113" s="190"/>
      <c r="H113" s="248">
        <v>68.14</v>
      </c>
      <c r="I113" s="249">
        <v>-20.059999999999999</v>
      </c>
      <c r="J113" s="250">
        <v>46.8</v>
      </c>
      <c r="K113" s="177"/>
      <c r="L113" s="102">
        <f t="shared" ca="1" si="266"/>
        <v>68.14</v>
      </c>
      <c r="M113" s="95">
        <f t="shared" ca="1" si="267"/>
        <v>-20.059999999999999</v>
      </c>
      <c r="N113" s="205">
        <f t="shared" ca="1" si="268"/>
        <v>46.8</v>
      </c>
      <c r="O113" s="215"/>
      <c r="P113" s="157">
        <f t="shared" ca="1" si="269"/>
        <v>0</v>
      </c>
      <c r="Q113" s="215"/>
      <c r="R113" s="289">
        <f t="shared" ca="1" si="270"/>
        <v>0</v>
      </c>
      <c r="S113" s="290"/>
      <c r="T113" s="148"/>
      <c r="U113" s="291">
        <f t="shared" ca="1" si="271"/>
        <v>0</v>
      </c>
      <c r="V113" s="292"/>
      <c r="W113" s="23"/>
      <c r="X113" s="291">
        <f t="shared" ca="1" si="272"/>
        <v>0</v>
      </c>
      <c r="Y113" s="292"/>
      <c r="Z113" s="94"/>
      <c r="AA113" s="94"/>
      <c r="AB113" s="94"/>
      <c r="AC113" s="94"/>
      <c r="AD113" s="94"/>
      <c r="AE113" s="168"/>
      <c r="AF113" s="168"/>
      <c r="AG113" s="173">
        <f t="shared" ca="1" si="273"/>
        <v>33.07</v>
      </c>
      <c r="AH113" s="173">
        <f t="shared" ca="1" si="273"/>
        <v>16.54</v>
      </c>
      <c r="AI113" s="173">
        <f t="shared" ca="1" si="273"/>
        <v>-16.91</v>
      </c>
      <c r="AJ113" s="109">
        <v>9</v>
      </c>
      <c r="AK113" s="113">
        <f t="shared" ca="1" si="274"/>
        <v>0.45609724137931035</v>
      </c>
      <c r="AL113" s="112">
        <f t="shared" ca="1" si="275"/>
        <v>0.50756724137931031</v>
      </c>
      <c r="AM113" s="112">
        <f t="shared" ca="1" si="276"/>
        <v>0.42301724137931035</v>
      </c>
      <c r="AN113" s="113">
        <f t="shared" ca="1" si="277"/>
        <v>9.4879488886916177E-2</v>
      </c>
      <c r="AO113" s="113">
        <f t="shared" ca="1" si="278"/>
        <v>7.5696222325510487E-2</v>
      </c>
      <c r="AP113" s="113">
        <f t="shared" ca="1" si="279"/>
        <v>0.1307617590716402</v>
      </c>
      <c r="AQ113" s="125">
        <f t="shared" ca="1" si="280"/>
        <v>9.1482803184764566E-2</v>
      </c>
      <c r="AR113" s="113">
        <f t="shared" ca="1" si="281"/>
        <v>7.5696222325510487E-2</v>
      </c>
      <c r="AS113" s="112">
        <f t="shared" ca="1" si="282"/>
        <v>0.10786537505819599</v>
      </c>
      <c r="AT113" s="159"/>
      <c r="AU113" s="255" t="e">
        <f t="shared" ca="1" si="283"/>
        <v>#N/A</v>
      </c>
      <c r="AV113" s="255" t="e">
        <f t="shared" ca="1" si="284"/>
        <v>#N/A</v>
      </c>
      <c r="AW113" s="255" t="e">
        <f t="shared" ca="1" si="285"/>
        <v>#N/A</v>
      </c>
      <c r="AX113" s="255" t="e">
        <f t="shared" ca="1" si="286"/>
        <v>#N/A</v>
      </c>
      <c r="AY113" s="255" t="e">
        <f t="shared" ca="1" si="287"/>
        <v>#N/A</v>
      </c>
      <c r="AZ113" s="255" t="e">
        <f t="shared" ca="1" si="288"/>
        <v>#N/A</v>
      </c>
      <c r="BA113" s="255" t="e">
        <f t="shared" ca="1" si="289"/>
        <v>#N/A</v>
      </c>
      <c r="BB113" s="255" t="e">
        <f t="shared" ca="1" si="290"/>
        <v>#N/A</v>
      </c>
      <c r="BC113" s="255" t="e">
        <f t="shared" ca="1" si="291"/>
        <v>#N/A</v>
      </c>
      <c r="BD113" s="255"/>
      <c r="BE113" s="112" t="e">
        <f t="shared" ca="1" si="292"/>
        <v>#N/A</v>
      </c>
      <c r="BF113" s="112" t="e">
        <f t="shared" ca="1" si="293"/>
        <v>#N/A</v>
      </c>
      <c r="BG113" s="112" t="e">
        <f t="shared" ca="1" si="294"/>
        <v>#N/A</v>
      </c>
      <c r="BH113" s="159"/>
      <c r="BI113" s="112">
        <f t="shared" si="295"/>
        <v>33.07</v>
      </c>
      <c r="BJ113" s="112">
        <f t="shared" si="296"/>
        <v>16.54</v>
      </c>
      <c r="BK113" s="112">
        <f t="shared" si="297"/>
        <v>-16.91</v>
      </c>
      <c r="BL113" s="255"/>
      <c r="BM113" s="113">
        <f t="shared" si="298"/>
        <v>0.45609724137931035</v>
      </c>
      <c r="BN113" s="112">
        <f t="shared" si="299"/>
        <v>0.50756724137931031</v>
      </c>
      <c r="BO113" s="112">
        <f t="shared" si="300"/>
        <v>0.42301724137931035</v>
      </c>
      <c r="BP113" s="113">
        <f t="shared" si="302"/>
        <v>9.4879488886916177E-2</v>
      </c>
      <c r="BQ113" s="113">
        <f t="shared" si="301"/>
        <v>7.5696222325510487E-2</v>
      </c>
      <c r="BR113" s="113">
        <f t="shared" si="303"/>
        <v>0.1307617590716402</v>
      </c>
      <c r="BS113" s="125">
        <f t="shared" si="304"/>
        <v>9.1482803184764566E-2</v>
      </c>
      <c r="BT113" s="113">
        <f t="shared" si="305"/>
        <v>7.5696222325510487E-2</v>
      </c>
      <c r="BU113" s="112">
        <f t="shared" si="306"/>
        <v>0.10786537505819599</v>
      </c>
      <c r="BV113" s="255"/>
      <c r="BW113" s="255"/>
      <c r="BX113" s="255"/>
      <c r="BY113" s="255"/>
      <c r="BZ113" s="255"/>
      <c r="CA113" s="255"/>
      <c r="CB113" s="255"/>
      <c r="CC113" s="255"/>
      <c r="CD113" s="255"/>
      <c r="CE113" s="255"/>
      <c r="CF113" s="255"/>
      <c r="CG113" s="255"/>
      <c r="CH113" s="255"/>
      <c r="CI113" s="255"/>
      <c r="CJ113" s="255"/>
      <c r="CK113" s="255"/>
      <c r="CL113" s="255"/>
      <c r="CM113" s="255"/>
      <c r="CN113" s="255"/>
      <c r="CO113" s="255"/>
      <c r="CP113" s="255"/>
      <c r="CQ113" s="255"/>
      <c r="CR113" s="255"/>
      <c r="CS113" s="255"/>
      <c r="CT113" s="255"/>
      <c r="CU113" s="255"/>
      <c r="CV113" s="255"/>
      <c r="CW113" s="255"/>
      <c r="CX113" s="255"/>
      <c r="CY113" s="255"/>
      <c r="CZ113" s="255"/>
      <c r="DA113" s="255"/>
      <c r="DB113" s="255"/>
      <c r="DC113" s="255"/>
      <c r="DD113" s="255"/>
      <c r="DE113" s="255"/>
      <c r="DF113" s="255"/>
      <c r="DG113" s="112"/>
      <c r="DH113" s="112"/>
      <c r="DI113" s="112"/>
      <c r="DJ113" s="112"/>
      <c r="DK113" s="255"/>
      <c r="DL113" s="255"/>
      <c r="DM113" s="255"/>
      <c r="DN113" s="255"/>
      <c r="DO113" s="255"/>
      <c r="DP113" s="255"/>
      <c r="DQ113" s="255"/>
      <c r="DR113" s="255"/>
      <c r="DS113" s="255"/>
      <c r="DT113" s="255"/>
      <c r="DU113" s="255"/>
      <c r="DV113" s="255"/>
      <c r="DW113" s="260"/>
      <c r="DX113" s="168"/>
      <c r="DY113" s="168"/>
    </row>
    <row r="114" spans="1:129" s="151" customFormat="1" ht="14" customHeight="1">
      <c r="A114" s="215"/>
      <c r="B114" s="153">
        <f t="shared" ca="1" si="262"/>
        <v>40</v>
      </c>
      <c r="C114" s="154">
        <f t="shared" ca="1" si="263"/>
        <v>100</v>
      </c>
      <c r="D114" s="155" t="str">
        <f t="shared" ca="1" si="264"/>
        <v>-</v>
      </c>
      <c r="E114" s="156" t="str">
        <f t="shared" ca="1" si="265"/>
        <v>-</v>
      </c>
      <c r="F114" s="189"/>
      <c r="G114" s="190"/>
      <c r="H114" s="248">
        <v>44.95</v>
      </c>
      <c r="I114" s="249">
        <v>37.96</v>
      </c>
      <c r="J114" s="250">
        <v>-17.510000000000002</v>
      </c>
      <c r="K114" s="177"/>
      <c r="L114" s="102">
        <f t="shared" ca="1" si="266"/>
        <v>44.95</v>
      </c>
      <c r="M114" s="95">
        <f t="shared" ca="1" si="267"/>
        <v>37.96</v>
      </c>
      <c r="N114" s="205">
        <f t="shared" ca="1" si="268"/>
        <v>-17.510000000000002</v>
      </c>
      <c r="O114" s="215"/>
      <c r="P114" s="157">
        <f t="shared" ca="1" si="269"/>
        <v>0</v>
      </c>
      <c r="Q114" s="215"/>
      <c r="R114" s="289">
        <f t="shared" ca="1" si="270"/>
        <v>0</v>
      </c>
      <c r="S114" s="290"/>
      <c r="T114" s="148"/>
      <c r="U114" s="291">
        <f t="shared" ca="1" si="271"/>
        <v>0</v>
      </c>
      <c r="V114" s="292"/>
      <c r="W114" s="23"/>
      <c r="X114" s="291">
        <f t="shared" ca="1" si="272"/>
        <v>0</v>
      </c>
      <c r="Y114" s="292"/>
      <c r="Z114" s="94"/>
      <c r="AA114" s="94"/>
      <c r="AB114" s="94"/>
      <c r="AC114" s="94"/>
      <c r="AD114" s="94"/>
      <c r="AE114" s="168"/>
      <c r="AF114" s="168"/>
      <c r="AG114" s="173">
        <f t="shared" ca="1" si="273"/>
        <v>78.03</v>
      </c>
      <c r="AH114" s="173">
        <f t="shared" ca="1" si="273"/>
        <v>-8.67</v>
      </c>
      <c r="AI114" s="173">
        <f t="shared" ca="1" si="273"/>
        <v>-8.34</v>
      </c>
      <c r="AJ114" s="109">
        <v>10</v>
      </c>
      <c r="AK114" s="113">
        <f t="shared" ca="1" si="274"/>
        <v>0.79326344827586204</v>
      </c>
      <c r="AL114" s="112">
        <f t="shared" ca="1" si="275"/>
        <v>0.85230344827586202</v>
      </c>
      <c r="AM114" s="112">
        <f t="shared" ca="1" si="276"/>
        <v>0.81060344827586206</v>
      </c>
      <c r="AN114" s="113">
        <f t="shared" ca="1" si="277"/>
        <v>0.49917442968724812</v>
      </c>
      <c r="AO114" s="113">
        <f t="shared" ca="1" si="278"/>
        <v>0.53262965234519155</v>
      </c>
      <c r="AP114" s="113">
        <f t="shared" ca="1" si="279"/>
        <v>0.61913126633833404</v>
      </c>
      <c r="AQ114" s="125">
        <f t="shared" ca="1" si="280"/>
        <v>0.48130398510444461</v>
      </c>
      <c r="AR114" s="113">
        <f t="shared" ca="1" si="281"/>
        <v>0.53262965234519155</v>
      </c>
      <c r="AS114" s="112">
        <f t="shared" ca="1" si="282"/>
        <v>0.5107213816024917</v>
      </c>
      <c r="AT114" s="159"/>
      <c r="AU114" s="255" t="e">
        <f t="shared" ca="1" si="283"/>
        <v>#N/A</v>
      </c>
      <c r="AV114" s="255" t="e">
        <f t="shared" ca="1" si="284"/>
        <v>#N/A</v>
      </c>
      <c r="AW114" s="255" t="e">
        <f t="shared" ca="1" si="285"/>
        <v>#N/A</v>
      </c>
      <c r="AX114" s="255" t="e">
        <f t="shared" ca="1" si="286"/>
        <v>#N/A</v>
      </c>
      <c r="AY114" s="255" t="e">
        <f t="shared" ca="1" si="287"/>
        <v>#N/A</v>
      </c>
      <c r="AZ114" s="255" t="e">
        <f t="shared" ca="1" si="288"/>
        <v>#N/A</v>
      </c>
      <c r="BA114" s="255" t="e">
        <f t="shared" ca="1" si="289"/>
        <v>#N/A</v>
      </c>
      <c r="BB114" s="255" t="e">
        <f t="shared" ca="1" si="290"/>
        <v>#N/A</v>
      </c>
      <c r="BC114" s="255" t="e">
        <f t="shared" ca="1" si="291"/>
        <v>#N/A</v>
      </c>
      <c r="BD114" s="255"/>
      <c r="BE114" s="112" t="e">
        <f t="shared" ca="1" si="292"/>
        <v>#N/A</v>
      </c>
      <c r="BF114" s="112" t="e">
        <f t="shared" ca="1" si="293"/>
        <v>#N/A</v>
      </c>
      <c r="BG114" s="112" t="e">
        <f t="shared" ca="1" si="294"/>
        <v>#N/A</v>
      </c>
      <c r="BH114" s="159"/>
      <c r="BI114" s="112">
        <f t="shared" si="295"/>
        <v>78.03</v>
      </c>
      <c r="BJ114" s="112">
        <f t="shared" si="296"/>
        <v>-8.67</v>
      </c>
      <c r="BK114" s="112">
        <f t="shared" si="297"/>
        <v>-8.34</v>
      </c>
      <c r="BL114" s="255"/>
      <c r="BM114" s="113">
        <f t="shared" si="298"/>
        <v>0.79326344827586204</v>
      </c>
      <c r="BN114" s="112">
        <f t="shared" si="299"/>
        <v>0.85230344827586202</v>
      </c>
      <c r="BO114" s="112">
        <f t="shared" si="300"/>
        <v>0.81060344827586206</v>
      </c>
      <c r="BP114" s="113">
        <f t="shared" si="302"/>
        <v>0.49917442968724812</v>
      </c>
      <c r="BQ114" s="113">
        <f t="shared" si="301"/>
        <v>0.53262965234519155</v>
      </c>
      <c r="BR114" s="113">
        <f t="shared" si="303"/>
        <v>0.61913126633833404</v>
      </c>
      <c r="BS114" s="125">
        <f t="shared" si="304"/>
        <v>0.48130398510444461</v>
      </c>
      <c r="BT114" s="113">
        <f t="shared" si="305"/>
        <v>0.53262965234519155</v>
      </c>
      <c r="BU114" s="112">
        <f t="shared" si="306"/>
        <v>0.5107213816024917</v>
      </c>
      <c r="BV114" s="255"/>
      <c r="BW114" s="174"/>
      <c r="BX114" s="159"/>
      <c r="BY114" s="255"/>
      <c r="BZ114" s="255"/>
      <c r="CA114" s="255"/>
      <c r="CB114" s="255"/>
      <c r="CC114" s="255"/>
      <c r="CD114" s="255"/>
      <c r="CE114" s="255"/>
      <c r="CF114" s="255"/>
      <c r="CG114" s="255"/>
      <c r="CH114" s="255"/>
      <c r="CI114" s="255"/>
      <c r="CJ114" s="255"/>
      <c r="CK114" s="255"/>
      <c r="CL114" s="255"/>
      <c r="CM114" s="255"/>
      <c r="CN114" s="255"/>
      <c r="CO114" s="255"/>
      <c r="CP114" s="255"/>
      <c r="CQ114" s="255"/>
      <c r="CR114" s="255"/>
      <c r="CS114" s="255"/>
      <c r="CT114" s="255"/>
      <c r="CU114" s="255"/>
      <c r="CV114" s="255"/>
      <c r="CW114" s="255"/>
      <c r="CX114" s="255"/>
      <c r="CY114" s="255"/>
      <c r="CZ114" s="255"/>
      <c r="DA114" s="255"/>
      <c r="DB114" s="255"/>
      <c r="DC114" s="255"/>
      <c r="DD114" s="255"/>
      <c r="DE114" s="255"/>
      <c r="DF114" s="255"/>
      <c r="DG114" s="112"/>
      <c r="DH114" s="112"/>
      <c r="DI114" s="112"/>
      <c r="DJ114" s="112"/>
      <c r="DK114" s="255"/>
      <c r="DL114" s="255"/>
      <c r="DM114" s="255"/>
      <c r="DN114" s="255"/>
      <c r="DO114" s="255"/>
      <c r="DP114" s="255"/>
      <c r="DQ114" s="255"/>
      <c r="DR114" s="255"/>
      <c r="DS114" s="255"/>
      <c r="DT114" s="255"/>
      <c r="DU114" s="255"/>
      <c r="DV114" s="255"/>
      <c r="DW114" s="260"/>
      <c r="DX114" s="168"/>
      <c r="DY114" s="168"/>
    </row>
    <row r="115" spans="1:129" s="151" customFormat="1" ht="14" customHeight="1">
      <c r="A115" s="215"/>
      <c r="B115" s="153" t="str">
        <f t="shared" ca="1" si="262"/>
        <v>-</v>
      </c>
      <c r="C115" s="154">
        <f t="shared" ca="1" si="263"/>
        <v>40</v>
      </c>
      <c r="D115" s="155">
        <f t="shared" ca="1" si="264"/>
        <v>100</v>
      </c>
      <c r="E115" s="156" t="str">
        <f t="shared" ca="1" si="265"/>
        <v>-</v>
      </c>
      <c r="F115" s="189"/>
      <c r="G115" s="190"/>
      <c r="H115" s="248">
        <v>66.739999999999995</v>
      </c>
      <c r="I115" s="249">
        <v>24.04</v>
      </c>
      <c r="J115" s="250">
        <v>50.36</v>
      </c>
      <c r="K115" s="177"/>
      <c r="L115" s="102">
        <f t="shared" ca="1" si="266"/>
        <v>66.739999999999995</v>
      </c>
      <c r="M115" s="95">
        <f t="shared" ca="1" si="267"/>
        <v>24.04</v>
      </c>
      <c r="N115" s="205">
        <f t="shared" ca="1" si="268"/>
        <v>50.36</v>
      </c>
      <c r="O115" s="215"/>
      <c r="P115" s="157">
        <f t="shared" ca="1" si="269"/>
        <v>0</v>
      </c>
      <c r="Q115" s="215"/>
      <c r="R115" s="289">
        <f t="shared" ca="1" si="270"/>
        <v>0</v>
      </c>
      <c r="S115" s="290"/>
      <c r="T115" s="148"/>
      <c r="U115" s="291">
        <f t="shared" ca="1" si="271"/>
        <v>0</v>
      </c>
      <c r="V115" s="292"/>
      <c r="W115" s="23"/>
      <c r="X115" s="291">
        <f t="shared" ca="1" si="272"/>
        <v>0</v>
      </c>
      <c r="Y115" s="292"/>
      <c r="Z115" s="94"/>
      <c r="AA115" s="94"/>
      <c r="AB115" s="94"/>
      <c r="AC115" s="94"/>
      <c r="AD115" s="94"/>
      <c r="AE115" s="168"/>
      <c r="AF115" s="168"/>
      <c r="AG115" s="173">
        <f t="shared" ca="1" si="273"/>
        <v>54.59</v>
      </c>
      <c r="AH115" s="173">
        <f t="shared" ca="1" si="273"/>
        <v>10.73</v>
      </c>
      <c r="AI115" s="173">
        <f t="shared" ca="1" si="273"/>
        <v>-21.01</v>
      </c>
      <c r="AJ115" s="109">
        <v>11</v>
      </c>
      <c r="AK115" s="113">
        <f t="shared" ca="1" si="274"/>
        <v>0.6299944827586208</v>
      </c>
      <c r="AL115" s="112">
        <f t="shared" ca="1" si="275"/>
        <v>0.71358448275862074</v>
      </c>
      <c r="AM115" s="112">
        <f t="shared" ca="1" si="276"/>
        <v>0.60853448275862076</v>
      </c>
      <c r="AN115" s="113">
        <f t="shared" ca="1" si="277"/>
        <v>0.25004043067822113</v>
      </c>
      <c r="AO115" s="113">
        <f t="shared" ca="1" si="278"/>
        <v>0.22534897032153334</v>
      </c>
      <c r="AP115" s="113">
        <f t="shared" ca="1" si="279"/>
        <v>0.36335922667160636</v>
      </c>
      <c r="AQ115" s="125">
        <f t="shared" ca="1" si="280"/>
        <v>0.2410889832599408</v>
      </c>
      <c r="AR115" s="113">
        <f t="shared" ca="1" si="281"/>
        <v>0.22534897032153334</v>
      </c>
      <c r="AS115" s="112">
        <f t="shared" ca="1" si="282"/>
        <v>0.29973502608140806</v>
      </c>
      <c r="AT115" s="159"/>
      <c r="AU115" s="255" t="e">
        <f t="shared" ca="1" si="283"/>
        <v>#N/A</v>
      </c>
      <c r="AV115" s="255" t="e">
        <f t="shared" ca="1" si="284"/>
        <v>#N/A</v>
      </c>
      <c r="AW115" s="255" t="e">
        <f t="shared" ca="1" si="285"/>
        <v>#N/A</v>
      </c>
      <c r="AX115" s="255" t="e">
        <f t="shared" ca="1" si="286"/>
        <v>#N/A</v>
      </c>
      <c r="AY115" s="255" t="e">
        <f t="shared" ca="1" si="287"/>
        <v>#N/A</v>
      </c>
      <c r="AZ115" s="255" t="e">
        <f t="shared" ca="1" si="288"/>
        <v>#N/A</v>
      </c>
      <c r="BA115" s="255" t="e">
        <f t="shared" ca="1" si="289"/>
        <v>#N/A</v>
      </c>
      <c r="BB115" s="255" t="e">
        <f t="shared" ca="1" si="290"/>
        <v>#N/A</v>
      </c>
      <c r="BC115" s="255" t="e">
        <f t="shared" ca="1" si="291"/>
        <v>#N/A</v>
      </c>
      <c r="BD115" s="255"/>
      <c r="BE115" s="112" t="e">
        <f t="shared" ca="1" si="292"/>
        <v>#N/A</v>
      </c>
      <c r="BF115" s="112" t="e">
        <f t="shared" ca="1" si="293"/>
        <v>#N/A</v>
      </c>
      <c r="BG115" s="112" t="e">
        <f t="shared" ca="1" si="294"/>
        <v>#N/A</v>
      </c>
      <c r="BH115" s="159"/>
      <c r="BI115" s="112">
        <f t="shared" si="295"/>
        <v>54.59</v>
      </c>
      <c r="BJ115" s="112">
        <f t="shared" si="296"/>
        <v>10.73</v>
      </c>
      <c r="BK115" s="112">
        <f t="shared" si="297"/>
        <v>-21.01</v>
      </c>
      <c r="BL115" s="255"/>
      <c r="BM115" s="113">
        <f t="shared" si="298"/>
        <v>0.6299944827586208</v>
      </c>
      <c r="BN115" s="112">
        <f t="shared" si="299"/>
        <v>0.71358448275862074</v>
      </c>
      <c r="BO115" s="112">
        <f t="shared" si="300"/>
        <v>0.60853448275862076</v>
      </c>
      <c r="BP115" s="113">
        <f t="shared" si="302"/>
        <v>0.25004043067822113</v>
      </c>
      <c r="BQ115" s="113">
        <f t="shared" si="301"/>
        <v>0.22534897032153334</v>
      </c>
      <c r="BR115" s="113">
        <f t="shared" si="303"/>
        <v>0.36335922667160636</v>
      </c>
      <c r="BS115" s="125">
        <f t="shared" si="304"/>
        <v>0.2410889832599408</v>
      </c>
      <c r="BT115" s="113">
        <f t="shared" si="305"/>
        <v>0.22534897032153334</v>
      </c>
      <c r="BU115" s="112">
        <f t="shared" si="306"/>
        <v>0.29973502608140806</v>
      </c>
      <c r="BV115" s="255"/>
      <c r="BW115" s="171" t="s">
        <v>254</v>
      </c>
      <c r="BX115" s="255"/>
      <c r="BY115" s="255"/>
      <c r="BZ115" s="255"/>
      <c r="CA115" s="255"/>
      <c r="CB115" s="255"/>
      <c r="CC115" s="255"/>
      <c r="CD115" s="255"/>
      <c r="CE115" s="255"/>
      <c r="CF115" s="255"/>
      <c r="CG115" s="255"/>
      <c r="CH115" s="255"/>
      <c r="CI115" s="255"/>
      <c r="CJ115" s="255"/>
      <c r="CK115" s="255"/>
      <c r="CL115" s="255"/>
      <c r="CM115" s="255"/>
      <c r="CN115" s="255"/>
      <c r="CO115" s="255"/>
      <c r="CP115" s="255"/>
      <c r="CQ115" s="255"/>
      <c r="CR115" s="255"/>
      <c r="CS115" s="255"/>
      <c r="CT115" s="255"/>
      <c r="CU115" s="255"/>
      <c r="CV115" s="255"/>
      <c r="CW115" s="255"/>
      <c r="CX115" s="255"/>
      <c r="CY115" s="255"/>
      <c r="CZ115" s="255"/>
      <c r="DA115" s="255"/>
      <c r="DB115" s="255"/>
      <c r="DC115" s="255"/>
      <c r="DD115" s="255"/>
      <c r="DE115" s="255"/>
      <c r="DF115" s="255"/>
      <c r="DG115" s="112"/>
      <c r="DH115" s="112"/>
      <c r="DI115" s="112"/>
      <c r="DJ115" s="112"/>
      <c r="DK115" s="255"/>
      <c r="DL115" s="255"/>
      <c r="DM115" s="255"/>
      <c r="DN115" s="255"/>
      <c r="DO115" s="255"/>
      <c r="DP115" s="255"/>
      <c r="DQ115" s="255"/>
      <c r="DR115" s="255"/>
      <c r="DS115" s="255"/>
      <c r="DT115" s="255"/>
      <c r="DU115" s="255"/>
      <c r="DV115" s="255"/>
      <c r="DW115" s="260"/>
      <c r="DX115" s="168"/>
      <c r="DY115" s="168"/>
    </row>
    <row r="116" spans="1:129">
      <c r="B116" s="153">
        <f t="shared" ca="1" si="262"/>
        <v>100</v>
      </c>
      <c r="C116" s="154" t="str">
        <f t="shared" ca="1" si="263"/>
        <v>-</v>
      </c>
      <c r="D116" s="155">
        <f t="shared" ca="1" si="264"/>
        <v>40</v>
      </c>
      <c r="E116" s="156" t="str">
        <f t="shared" ca="1" si="265"/>
        <v>-</v>
      </c>
      <c r="F116" s="189"/>
      <c r="G116" s="190"/>
      <c r="H116" s="248">
        <v>55.04</v>
      </c>
      <c r="I116" s="249">
        <v>-37.229999999999997</v>
      </c>
      <c r="J116" s="250">
        <v>-8.49</v>
      </c>
      <c r="K116" s="177"/>
      <c r="L116" s="102">
        <f t="shared" ca="1" si="266"/>
        <v>55.04</v>
      </c>
      <c r="M116" s="95">
        <f t="shared" ca="1" si="267"/>
        <v>-37.229999999999997</v>
      </c>
      <c r="N116" s="205">
        <f t="shared" ca="1" si="268"/>
        <v>-8.49</v>
      </c>
      <c r="O116" s="215"/>
      <c r="P116" s="157">
        <f t="shared" ca="1" si="269"/>
        <v>0</v>
      </c>
      <c r="Q116" s="215"/>
      <c r="R116" s="289">
        <f t="shared" ca="1" si="270"/>
        <v>0</v>
      </c>
      <c r="S116" s="290"/>
      <c r="T116" s="148"/>
      <c r="U116" s="291">
        <f t="shared" ca="1" si="271"/>
        <v>0</v>
      </c>
      <c r="V116" s="292"/>
      <c r="W116" s="23"/>
      <c r="X116" s="291">
        <f t="shared" ca="1" si="272"/>
        <v>0</v>
      </c>
      <c r="Y116" s="292"/>
      <c r="Z116" s="64"/>
      <c r="AA116" s="64"/>
      <c r="AB116" s="64"/>
      <c r="AC116" s="64"/>
      <c r="AD116" s="64"/>
      <c r="AG116" s="127">
        <f t="shared" ca="1" si="273"/>
        <v>39.78</v>
      </c>
      <c r="AH116" s="127">
        <f t="shared" ca="1" si="273"/>
        <v>34.08</v>
      </c>
      <c r="AI116" s="127">
        <f t="shared" ca="1" si="273"/>
        <v>12.81</v>
      </c>
      <c r="AJ116" s="109">
        <v>12</v>
      </c>
      <c r="AK116" s="113">
        <f t="shared" ca="1" si="274"/>
        <v>0.5490220689655172</v>
      </c>
      <c r="AL116" s="112">
        <f t="shared" ca="1" si="275"/>
        <v>0.41681206896551726</v>
      </c>
      <c r="AM116" s="112">
        <f t="shared" ca="1" si="276"/>
        <v>0.48086206896551725</v>
      </c>
      <c r="AN116" s="113">
        <f t="shared" ca="1" si="277"/>
        <v>0.16548910462699193</v>
      </c>
      <c r="AO116" s="113">
        <f t="shared" ca="1" si="278"/>
        <v>0.11118893286420108</v>
      </c>
      <c r="AP116" s="113">
        <f t="shared" ca="1" si="279"/>
        <v>7.2413719757307343E-2</v>
      </c>
      <c r="AQ116" s="125">
        <f t="shared" ca="1" si="280"/>
        <v>0.1595645946813456</v>
      </c>
      <c r="AR116" s="113">
        <f t="shared" ca="1" si="281"/>
        <v>0.11118893286420108</v>
      </c>
      <c r="AS116" s="112">
        <f t="shared" ca="1" si="282"/>
        <v>5.9734077427802824E-2</v>
      </c>
      <c r="AT116" s="159"/>
      <c r="AU116" s="107" t="e">
        <f t="shared" ca="1" si="283"/>
        <v>#N/A</v>
      </c>
      <c r="AV116" s="107" t="e">
        <f t="shared" ca="1" si="284"/>
        <v>#N/A</v>
      </c>
      <c r="AW116" s="107" t="e">
        <f t="shared" ca="1" si="285"/>
        <v>#N/A</v>
      </c>
      <c r="AX116" s="107" t="e">
        <f t="shared" ca="1" si="286"/>
        <v>#N/A</v>
      </c>
      <c r="AY116" s="107" t="e">
        <f t="shared" ca="1" si="287"/>
        <v>#N/A</v>
      </c>
      <c r="AZ116" s="107" t="e">
        <f t="shared" ca="1" si="288"/>
        <v>#N/A</v>
      </c>
      <c r="BA116" s="107" t="e">
        <f t="shared" ca="1" si="289"/>
        <v>#N/A</v>
      </c>
      <c r="BB116" s="107" t="e">
        <f t="shared" ca="1" si="290"/>
        <v>#N/A</v>
      </c>
      <c r="BC116" s="107" t="e">
        <f t="shared" ca="1" si="291"/>
        <v>#N/A</v>
      </c>
      <c r="BE116" s="112" t="e">
        <f t="shared" ca="1" si="292"/>
        <v>#N/A</v>
      </c>
      <c r="BF116" s="112" t="e">
        <f t="shared" ca="1" si="293"/>
        <v>#N/A</v>
      </c>
      <c r="BG116" s="112" t="e">
        <f t="shared" ca="1" si="294"/>
        <v>#N/A</v>
      </c>
      <c r="BH116" s="111"/>
      <c r="BI116" s="112">
        <f t="shared" si="295"/>
        <v>39.78</v>
      </c>
      <c r="BJ116" s="112">
        <f t="shared" si="296"/>
        <v>34.08</v>
      </c>
      <c r="BK116" s="112">
        <f t="shared" si="297"/>
        <v>12.81</v>
      </c>
      <c r="BL116" s="107"/>
      <c r="BM116" s="113">
        <f t="shared" si="298"/>
        <v>0.5490220689655172</v>
      </c>
      <c r="BN116" s="112">
        <f t="shared" si="299"/>
        <v>0.41681206896551726</v>
      </c>
      <c r="BO116" s="112">
        <f t="shared" si="300"/>
        <v>0.48086206896551725</v>
      </c>
      <c r="BP116" s="113">
        <f t="shared" si="302"/>
        <v>0.16548910462699193</v>
      </c>
      <c r="BQ116" s="113">
        <f t="shared" si="301"/>
        <v>0.11118893286420108</v>
      </c>
      <c r="BR116" s="113">
        <f t="shared" si="303"/>
        <v>7.2413719757307343E-2</v>
      </c>
      <c r="BS116" s="125">
        <f t="shared" si="304"/>
        <v>0.1595645946813456</v>
      </c>
      <c r="BT116" s="113">
        <f t="shared" si="305"/>
        <v>0.11118893286420108</v>
      </c>
      <c r="BU116" s="112">
        <f t="shared" si="306"/>
        <v>5.9734077427802824E-2</v>
      </c>
      <c r="BV116" s="255"/>
    </row>
    <row r="117" spans="1:129">
      <c r="B117" s="153">
        <f t="shared" ca="1" si="262"/>
        <v>100</v>
      </c>
      <c r="C117" s="154" t="str">
        <f t="shared" ca="1" si="263"/>
        <v>-</v>
      </c>
      <c r="D117" s="155" t="str">
        <f t="shared" ca="1" si="264"/>
        <v>-</v>
      </c>
      <c r="E117" s="156">
        <f t="shared" ca="1" si="265"/>
        <v>80</v>
      </c>
      <c r="F117" s="189"/>
      <c r="G117" s="190"/>
      <c r="H117" s="248">
        <v>29.88</v>
      </c>
      <c r="I117" s="249">
        <v>-6.79</v>
      </c>
      <c r="J117" s="250">
        <v>-9.7899999999999991</v>
      </c>
      <c r="K117" s="177"/>
      <c r="L117" s="102">
        <f t="shared" ca="1" si="266"/>
        <v>29.88</v>
      </c>
      <c r="M117" s="95">
        <f t="shared" ca="1" si="267"/>
        <v>-6.79</v>
      </c>
      <c r="N117" s="205">
        <f t="shared" ca="1" si="268"/>
        <v>-9.7899999999999991</v>
      </c>
      <c r="O117" s="215"/>
      <c r="P117" s="157">
        <f t="shared" ca="1" si="269"/>
        <v>0</v>
      </c>
      <c r="Q117" s="215"/>
      <c r="R117" s="289">
        <f t="shared" ca="1" si="270"/>
        <v>0</v>
      </c>
      <c r="S117" s="290"/>
      <c r="T117" s="148"/>
      <c r="U117" s="291">
        <f t="shared" ca="1" si="271"/>
        <v>0</v>
      </c>
      <c r="V117" s="292"/>
      <c r="W117" s="23"/>
      <c r="X117" s="291">
        <f t="shared" ca="1" si="272"/>
        <v>0</v>
      </c>
      <c r="Y117" s="292"/>
      <c r="Z117" s="64"/>
      <c r="AA117" s="64"/>
      <c r="AB117" s="64"/>
      <c r="AC117" s="64"/>
      <c r="AD117" s="64"/>
      <c r="AG117" s="127">
        <f t="shared" ca="1" si="273"/>
        <v>83.22</v>
      </c>
      <c r="AH117" s="127">
        <f t="shared" ca="1" si="273"/>
        <v>-3.68</v>
      </c>
      <c r="AI117" s="127">
        <f t="shared" ca="1" si="273"/>
        <v>-1.78</v>
      </c>
      <c r="AJ117" s="109">
        <v>13</v>
      </c>
      <c r="AK117" s="113">
        <f t="shared" ca="1" si="274"/>
        <v>0.84798482758620686</v>
      </c>
      <c r="AL117" s="112">
        <f t="shared" ca="1" si="275"/>
        <v>0.86424482758620691</v>
      </c>
      <c r="AM117" s="112">
        <f t="shared" ca="1" si="276"/>
        <v>0.85534482758620689</v>
      </c>
      <c r="AN117" s="113">
        <f t="shared" ca="1" si="277"/>
        <v>0.60976746095528578</v>
      </c>
      <c r="AO117" s="113">
        <f t="shared" ca="1" si="278"/>
        <v>0.62578291279367748</v>
      </c>
      <c r="AP117" s="113">
        <f t="shared" ca="1" si="279"/>
        <v>0.64552098782195222</v>
      </c>
      <c r="AQ117" s="125">
        <f t="shared" ca="1" si="280"/>
        <v>0.58793778585308654</v>
      </c>
      <c r="AR117" s="113">
        <f t="shared" ca="1" si="281"/>
        <v>0.62578291279367748</v>
      </c>
      <c r="AS117" s="112">
        <f t="shared" ca="1" si="282"/>
        <v>0.53249026285432832</v>
      </c>
      <c r="AT117" s="159"/>
      <c r="AU117" s="107" t="e">
        <f t="shared" ca="1" si="283"/>
        <v>#N/A</v>
      </c>
      <c r="AV117" s="107" t="e">
        <f t="shared" ca="1" si="284"/>
        <v>#N/A</v>
      </c>
      <c r="AW117" s="107" t="e">
        <f t="shared" ca="1" si="285"/>
        <v>#N/A</v>
      </c>
      <c r="AX117" s="107" t="e">
        <f t="shared" ca="1" si="286"/>
        <v>#N/A</v>
      </c>
      <c r="AY117" s="107" t="e">
        <f t="shared" ca="1" si="287"/>
        <v>#N/A</v>
      </c>
      <c r="AZ117" s="107" t="e">
        <f t="shared" ca="1" si="288"/>
        <v>#N/A</v>
      </c>
      <c r="BA117" s="107" t="e">
        <f t="shared" ca="1" si="289"/>
        <v>#N/A</v>
      </c>
      <c r="BB117" s="107" t="e">
        <f t="shared" ca="1" si="290"/>
        <v>#N/A</v>
      </c>
      <c r="BC117" s="107" t="e">
        <f t="shared" ca="1" si="291"/>
        <v>#N/A</v>
      </c>
      <c r="BE117" s="112" t="e">
        <f t="shared" ca="1" si="292"/>
        <v>#N/A</v>
      </c>
      <c r="BF117" s="112" t="e">
        <f t="shared" ca="1" si="293"/>
        <v>#N/A</v>
      </c>
      <c r="BG117" s="112" t="e">
        <f t="shared" ca="1" si="294"/>
        <v>#N/A</v>
      </c>
      <c r="BH117" s="111"/>
      <c r="BI117" s="112">
        <f t="shared" si="295"/>
        <v>83.22</v>
      </c>
      <c r="BJ117" s="112">
        <f t="shared" si="296"/>
        <v>-3.68</v>
      </c>
      <c r="BK117" s="112">
        <f t="shared" si="297"/>
        <v>-1.78</v>
      </c>
      <c r="BL117" s="107"/>
      <c r="BM117" s="113">
        <f t="shared" si="298"/>
        <v>0.84798482758620686</v>
      </c>
      <c r="BN117" s="112">
        <f t="shared" si="299"/>
        <v>0.86424482758620691</v>
      </c>
      <c r="BO117" s="112">
        <f t="shared" si="300"/>
        <v>0.85534482758620689</v>
      </c>
      <c r="BP117" s="113">
        <f t="shared" si="302"/>
        <v>0.60976746095528578</v>
      </c>
      <c r="BQ117" s="113">
        <f t="shared" si="301"/>
        <v>0.62578291279367748</v>
      </c>
      <c r="BR117" s="113">
        <f t="shared" si="303"/>
        <v>0.64552098782195222</v>
      </c>
      <c r="BS117" s="125">
        <f t="shared" si="304"/>
        <v>0.58793778585308654</v>
      </c>
      <c r="BT117" s="113">
        <f t="shared" si="305"/>
        <v>0.62578291279367748</v>
      </c>
      <c r="BU117" s="112">
        <f t="shared" si="306"/>
        <v>0.53249026285432832</v>
      </c>
      <c r="BV117" s="255"/>
      <c r="BW117" s="115" t="s">
        <v>217</v>
      </c>
      <c r="BX117" s="115" t="s">
        <v>173</v>
      </c>
      <c r="BY117" s="112">
        <v>6.734151526311731E-2</v>
      </c>
      <c r="BZ117" s="112">
        <v>6.9750312881191323E-2</v>
      </c>
      <c r="CA117" s="112">
        <v>5.5875969239208269E-2</v>
      </c>
      <c r="CB117" s="112"/>
      <c r="CC117" s="112"/>
      <c r="DG117" s="107"/>
      <c r="DH117" s="107"/>
      <c r="DI117" s="107"/>
      <c r="DJ117" s="107"/>
    </row>
    <row r="118" spans="1:129">
      <c r="B118" s="153" t="str">
        <f t="shared" ca="1" si="262"/>
        <v>-</v>
      </c>
      <c r="C118" s="154">
        <f t="shared" ca="1" si="263"/>
        <v>100</v>
      </c>
      <c r="D118" s="155" t="str">
        <f t="shared" ca="1" si="264"/>
        <v>-</v>
      </c>
      <c r="E118" s="156">
        <f t="shared" ca="1" si="265"/>
        <v>80</v>
      </c>
      <c r="F118" s="189"/>
      <c r="G118" s="190"/>
      <c r="H118" s="248">
        <v>29.16</v>
      </c>
      <c r="I118" s="249">
        <v>17.760000000000002</v>
      </c>
      <c r="J118" s="250">
        <v>0.51</v>
      </c>
      <c r="K118" s="177"/>
      <c r="L118" s="102">
        <f t="shared" ca="1" si="266"/>
        <v>29.16</v>
      </c>
      <c r="M118" s="95">
        <f t="shared" ca="1" si="267"/>
        <v>17.760000000000002</v>
      </c>
      <c r="N118" s="205">
        <f t="shared" ca="1" si="268"/>
        <v>0.51</v>
      </c>
      <c r="O118" s="215"/>
      <c r="P118" s="157">
        <f t="shared" ca="1" si="269"/>
        <v>0</v>
      </c>
      <c r="Q118" s="215"/>
      <c r="R118" s="289">
        <f t="shared" ca="1" si="270"/>
        <v>0</v>
      </c>
      <c r="S118" s="290"/>
      <c r="T118" s="148"/>
      <c r="U118" s="291">
        <f t="shared" ca="1" si="271"/>
        <v>0</v>
      </c>
      <c r="V118" s="292"/>
      <c r="W118" s="23"/>
      <c r="X118" s="291">
        <f t="shared" ca="1" si="272"/>
        <v>0</v>
      </c>
      <c r="Y118" s="292"/>
      <c r="Z118" s="64"/>
      <c r="AA118" s="64"/>
      <c r="AB118" s="64"/>
      <c r="AC118" s="64"/>
      <c r="AD118" s="64"/>
      <c r="AG118" s="127">
        <f t="shared" ca="1" si="273"/>
        <v>68.42</v>
      </c>
      <c r="AH118" s="127">
        <f t="shared" ca="1" si="273"/>
        <v>6.51</v>
      </c>
      <c r="AI118" s="127">
        <f t="shared" ca="1" si="273"/>
        <v>-11.04</v>
      </c>
      <c r="AJ118" s="109">
        <v>14</v>
      </c>
      <c r="AK118" s="113">
        <f t="shared" ca="1" si="274"/>
        <v>0.74077862068965517</v>
      </c>
      <c r="AL118" s="112">
        <f t="shared" ca="1" si="275"/>
        <v>0.78295862068965516</v>
      </c>
      <c r="AM118" s="112">
        <f t="shared" ca="1" si="276"/>
        <v>0.72775862068965513</v>
      </c>
      <c r="AN118" s="113">
        <f t="shared" ca="1" si="277"/>
        <v>0.40650446441640037</v>
      </c>
      <c r="AO118" s="113">
        <f t="shared" ca="1" si="278"/>
        <v>0.38544469771720852</v>
      </c>
      <c r="AP118" s="113">
        <f t="shared" ca="1" si="279"/>
        <v>0.47997258342199806</v>
      </c>
      <c r="AQ118" s="125">
        <f t="shared" ca="1" si="280"/>
        <v>0.39195160459029321</v>
      </c>
      <c r="AR118" s="113">
        <f t="shared" ca="1" si="281"/>
        <v>0.38544469771720852</v>
      </c>
      <c r="AS118" s="112">
        <f t="shared" ca="1" si="282"/>
        <v>0.39592938406480616</v>
      </c>
      <c r="AT118" s="159"/>
      <c r="AU118" s="107" t="e">
        <f t="shared" ca="1" si="283"/>
        <v>#N/A</v>
      </c>
      <c r="AV118" s="107" t="e">
        <f t="shared" ca="1" si="284"/>
        <v>#N/A</v>
      </c>
      <c r="AW118" s="107" t="e">
        <f t="shared" ca="1" si="285"/>
        <v>#N/A</v>
      </c>
      <c r="AX118" s="107" t="e">
        <f t="shared" ca="1" si="286"/>
        <v>#N/A</v>
      </c>
      <c r="AY118" s="107" t="e">
        <f t="shared" ca="1" si="287"/>
        <v>#N/A</v>
      </c>
      <c r="AZ118" s="107" t="e">
        <f t="shared" ca="1" si="288"/>
        <v>#N/A</v>
      </c>
      <c r="BA118" s="107" t="e">
        <f t="shared" ca="1" si="289"/>
        <v>#N/A</v>
      </c>
      <c r="BB118" s="107" t="e">
        <f t="shared" ca="1" si="290"/>
        <v>#N/A</v>
      </c>
      <c r="BC118" s="107" t="e">
        <f t="shared" ca="1" si="291"/>
        <v>#N/A</v>
      </c>
      <c r="BE118" s="112" t="e">
        <f t="shared" ca="1" si="292"/>
        <v>#N/A</v>
      </c>
      <c r="BF118" s="112" t="e">
        <f t="shared" ca="1" si="293"/>
        <v>#N/A</v>
      </c>
      <c r="BG118" s="112" t="e">
        <f t="shared" ca="1" si="294"/>
        <v>#N/A</v>
      </c>
      <c r="BH118" s="111"/>
      <c r="BI118" s="112">
        <f t="shared" si="295"/>
        <v>68.42</v>
      </c>
      <c r="BJ118" s="112">
        <f t="shared" si="296"/>
        <v>6.51</v>
      </c>
      <c r="BK118" s="112">
        <f t="shared" si="297"/>
        <v>-11.04</v>
      </c>
      <c r="BL118" s="107"/>
      <c r="BM118" s="113">
        <f t="shared" si="298"/>
        <v>0.74077862068965517</v>
      </c>
      <c r="BN118" s="112">
        <f t="shared" si="299"/>
        <v>0.78295862068965516</v>
      </c>
      <c r="BO118" s="112">
        <f t="shared" si="300"/>
        <v>0.72775862068965513</v>
      </c>
      <c r="BP118" s="113">
        <f t="shared" si="302"/>
        <v>0.40650446441640037</v>
      </c>
      <c r="BQ118" s="113">
        <f t="shared" si="301"/>
        <v>0.38544469771720852</v>
      </c>
      <c r="BR118" s="113">
        <f t="shared" si="303"/>
        <v>0.47997258342199806</v>
      </c>
      <c r="BS118" s="125">
        <f t="shared" si="304"/>
        <v>0.39195160459029321</v>
      </c>
      <c r="BT118" s="113">
        <f t="shared" si="305"/>
        <v>0.38544469771720852</v>
      </c>
      <c r="BU118" s="112">
        <f t="shared" si="306"/>
        <v>0.39592938406480616</v>
      </c>
      <c r="BV118" s="255"/>
      <c r="BW118" s="115" t="s">
        <v>211</v>
      </c>
      <c r="BX118" s="115" t="s">
        <v>174</v>
      </c>
      <c r="BY118" s="112">
        <v>3.4475867836692965E-2</v>
      </c>
      <c r="BZ118" s="112">
        <v>3.5237493482589498E-2</v>
      </c>
      <c r="CA118" s="112">
        <v>2.742368976029488E-2</v>
      </c>
      <c r="CB118" s="112"/>
      <c r="CC118" s="112"/>
      <c r="DG118" s="107"/>
      <c r="DH118" s="107"/>
      <c r="DI118" s="107"/>
      <c r="DJ118" s="107"/>
    </row>
    <row r="119" spans="1:129" ht="13" thickBot="1">
      <c r="B119" s="162" t="str">
        <f t="shared" ca="1" si="262"/>
        <v>-</v>
      </c>
      <c r="C119" s="163" t="str">
        <f t="shared" ca="1" si="263"/>
        <v>-</v>
      </c>
      <c r="D119" s="164">
        <f t="shared" ca="1" si="264"/>
        <v>100</v>
      </c>
      <c r="E119" s="165">
        <f t="shared" ca="1" si="265"/>
        <v>80</v>
      </c>
      <c r="F119" s="380" t="s">
        <v>242</v>
      </c>
      <c r="G119" s="381"/>
      <c r="H119" s="251">
        <v>36.840000000000003</v>
      </c>
      <c r="I119" s="252">
        <v>-2.7</v>
      </c>
      <c r="J119" s="253">
        <v>18.010000000000002</v>
      </c>
      <c r="K119" s="177"/>
      <c r="L119" s="103">
        <f t="shared" ca="1" si="266"/>
        <v>36.840000000000003</v>
      </c>
      <c r="M119" s="101">
        <f t="shared" ca="1" si="267"/>
        <v>-2.7</v>
      </c>
      <c r="N119" s="203">
        <f t="shared" ca="1" si="268"/>
        <v>18.010000000000002</v>
      </c>
      <c r="O119" s="178"/>
      <c r="P119" s="166">
        <f t="shared" ca="1" si="269"/>
        <v>0</v>
      </c>
      <c r="Q119" s="178"/>
      <c r="R119" s="295">
        <f t="shared" ca="1" si="270"/>
        <v>0</v>
      </c>
      <c r="S119" s="296"/>
      <c r="T119" s="179"/>
      <c r="U119" s="299">
        <f t="shared" ca="1" si="271"/>
        <v>0</v>
      </c>
      <c r="V119" s="300"/>
      <c r="W119" s="180"/>
      <c r="X119" s="299">
        <f t="shared" ca="1" si="272"/>
        <v>0</v>
      </c>
      <c r="Y119" s="300"/>
      <c r="Z119" s="64"/>
      <c r="AA119" s="64"/>
      <c r="AB119" s="64"/>
      <c r="AC119" s="64"/>
      <c r="AD119" s="64"/>
      <c r="AG119" s="127">
        <f t="shared" ca="1" si="273"/>
        <v>39.68</v>
      </c>
      <c r="AH119" s="127">
        <f t="shared" ca="1" si="273"/>
        <v>33.54</v>
      </c>
      <c r="AI119" s="127">
        <f t="shared" ca="1" si="273"/>
        <v>17.52</v>
      </c>
      <c r="AJ119" s="109">
        <v>15</v>
      </c>
      <c r="AK119" s="113">
        <f t="shared" ca="1" si="274"/>
        <v>0.54708000000000001</v>
      </c>
      <c r="AL119" s="112">
        <f t="shared" ca="1" si="275"/>
        <v>0.39239999999999997</v>
      </c>
      <c r="AM119" s="112">
        <f t="shared" ca="1" si="276"/>
        <v>0.48</v>
      </c>
      <c r="AN119" s="113">
        <f t="shared" ca="1" si="277"/>
        <v>0.16373914366291201</v>
      </c>
      <c r="AO119" s="113">
        <f t="shared" ca="1" si="278"/>
        <v>0.110592</v>
      </c>
      <c r="AP119" s="113">
        <f t="shared" ca="1" si="279"/>
        <v>6.0420873023999982E-2</v>
      </c>
      <c r="AQ119" s="125">
        <f t="shared" ca="1" si="280"/>
        <v>0.15787728231977974</v>
      </c>
      <c r="AR119" s="113">
        <f t="shared" ca="1" si="281"/>
        <v>0.110592</v>
      </c>
      <c r="AS119" s="112">
        <f t="shared" ca="1" si="282"/>
        <v>4.9841178157497584E-2</v>
      </c>
      <c r="AT119" s="159"/>
      <c r="AU119" s="107" t="e">
        <f t="shared" ca="1" si="283"/>
        <v>#N/A</v>
      </c>
      <c r="AV119" s="107" t="e">
        <f t="shared" ca="1" si="284"/>
        <v>#N/A</v>
      </c>
      <c r="AW119" s="107" t="e">
        <f t="shared" ca="1" si="285"/>
        <v>#N/A</v>
      </c>
      <c r="AX119" s="107" t="e">
        <f t="shared" ca="1" si="286"/>
        <v>#N/A</v>
      </c>
      <c r="AY119" s="107" t="e">
        <f t="shared" ca="1" si="287"/>
        <v>#N/A</v>
      </c>
      <c r="AZ119" s="107" t="e">
        <f t="shared" ca="1" si="288"/>
        <v>#N/A</v>
      </c>
      <c r="BA119" s="107" t="e">
        <f t="shared" ca="1" si="289"/>
        <v>#N/A</v>
      </c>
      <c r="BB119" s="107" t="e">
        <f t="shared" ca="1" si="290"/>
        <v>#N/A</v>
      </c>
      <c r="BC119" s="107" t="e">
        <f t="shared" ca="1" si="291"/>
        <v>#N/A</v>
      </c>
      <c r="BE119" s="112" t="e">
        <f t="shared" ca="1" si="292"/>
        <v>#N/A</v>
      </c>
      <c r="BF119" s="112" t="e">
        <f t="shared" ca="1" si="293"/>
        <v>#N/A</v>
      </c>
      <c r="BG119" s="112" t="e">
        <f t="shared" ca="1" si="294"/>
        <v>#N/A</v>
      </c>
      <c r="BH119" s="111"/>
      <c r="BI119" s="112">
        <f t="shared" si="295"/>
        <v>39.68</v>
      </c>
      <c r="BJ119" s="112">
        <f t="shared" si="296"/>
        <v>33.54</v>
      </c>
      <c r="BK119" s="112">
        <f t="shared" si="297"/>
        <v>17.52</v>
      </c>
      <c r="BL119" s="107"/>
      <c r="BM119" s="113">
        <f t="shared" si="298"/>
        <v>0.54708000000000001</v>
      </c>
      <c r="BN119" s="112">
        <f t="shared" si="299"/>
        <v>0.39239999999999997</v>
      </c>
      <c r="BO119" s="112">
        <f t="shared" si="300"/>
        <v>0.48</v>
      </c>
      <c r="BP119" s="113">
        <f t="shared" si="302"/>
        <v>0.16373914366291201</v>
      </c>
      <c r="BQ119" s="113">
        <f t="shared" si="301"/>
        <v>0.110592</v>
      </c>
      <c r="BR119" s="113">
        <f t="shared" si="303"/>
        <v>6.0420873023999982E-2</v>
      </c>
      <c r="BS119" s="125">
        <f t="shared" si="304"/>
        <v>0.15787728231977974</v>
      </c>
      <c r="BT119" s="113">
        <f t="shared" si="305"/>
        <v>0.110592</v>
      </c>
      <c r="BU119" s="112">
        <f t="shared" si="306"/>
        <v>4.9841178157497584E-2</v>
      </c>
      <c r="BV119" s="255"/>
      <c r="BW119" s="115" t="s">
        <v>219</v>
      </c>
      <c r="BX119" s="115" t="s">
        <v>175</v>
      </c>
      <c r="BY119" s="112">
        <v>4.9236416187154131E-2</v>
      </c>
      <c r="BZ119" s="112">
        <v>5.1221597154454873E-2</v>
      </c>
      <c r="CA119" s="112">
        <v>4.0452828594615381E-2</v>
      </c>
      <c r="CB119" s="112"/>
      <c r="CC119" s="112"/>
      <c r="DG119" s="107"/>
      <c r="DH119" s="107"/>
      <c r="DI119" s="107"/>
      <c r="DJ119" s="107"/>
    </row>
    <row r="120" spans="1:129">
      <c r="B120" s="7"/>
      <c r="C120" s="7"/>
      <c r="D120" s="7"/>
      <c r="E120" s="7"/>
      <c r="F120" s="7"/>
      <c r="G120" s="7"/>
      <c r="H120" s="235"/>
      <c r="I120" s="235"/>
      <c r="J120" s="235"/>
      <c r="K120" s="7"/>
      <c r="L120" s="7"/>
      <c r="R120" s="64"/>
      <c r="S120" s="64"/>
      <c r="T120" s="64"/>
      <c r="U120" s="64"/>
      <c r="V120" s="64"/>
      <c r="W120" s="64"/>
      <c r="X120" s="64"/>
      <c r="Y120" s="64"/>
      <c r="Z120" s="64"/>
      <c r="AA120" s="64"/>
      <c r="AB120" s="64"/>
      <c r="AC120" s="64"/>
      <c r="AD120" s="64"/>
      <c r="AG120" s="127">
        <f t="shared" ca="1" si="273"/>
        <v>52</v>
      </c>
      <c r="AH120" s="127">
        <f t="shared" ca="1" si="273"/>
        <v>58</v>
      </c>
      <c r="AI120" s="127">
        <f t="shared" ca="1" si="273"/>
        <v>-2</v>
      </c>
      <c r="AJ120" s="109">
        <v>16</v>
      </c>
      <c r="AK120" s="113">
        <f t="shared" ca="1" si="274"/>
        <v>0.70220689655172408</v>
      </c>
      <c r="AL120" s="112">
        <f t="shared" ca="1" si="275"/>
        <v>0.5962068965517241</v>
      </c>
      <c r="AM120" s="112">
        <f t="shared" ca="1" si="276"/>
        <v>0.58620689655172409</v>
      </c>
      <c r="AN120" s="113">
        <f t="shared" ca="1" si="277"/>
        <v>0.3462543765035056</v>
      </c>
      <c r="AO120" s="113">
        <f t="shared" ca="1" si="278"/>
        <v>0.20144327360695388</v>
      </c>
      <c r="AP120" s="113">
        <f t="shared" ca="1" si="279"/>
        <v>0.21192929144286352</v>
      </c>
      <c r="AQ120" s="125">
        <f t="shared" ca="1" si="280"/>
        <v>0.33385846982468009</v>
      </c>
      <c r="AR120" s="113">
        <f t="shared" ca="1" si="281"/>
        <v>0.20144327360695388</v>
      </c>
      <c r="AS120" s="112">
        <f t="shared" ca="1" si="282"/>
        <v>0.1748204725112181</v>
      </c>
      <c r="AT120" s="159"/>
      <c r="AU120" s="107" t="e">
        <f t="shared" ca="1" si="283"/>
        <v>#N/A</v>
      </c>
      <c r="AV120" s="107" t="e">
        <f t="shared" ca="1" si="284"/>
        <v>#N/A</v>
      </c>
      <c r="AW120" s="107" t="e">
        <f t="shared" ca="1" si="285"/>
        <v>#N/A</v>
      </c>
      <c r="AX120" s="107" t="e">
        <f t="shared" ca="1" si="286"/>
        <v>#N/A</v>
      </c>
      <c r="AY120" s="107" t="e">
        <f t="shared" ca="1" si="287"/>
        <v>#N/A</v>
      </c>
      <c r="AZ120" s="107" t="e">
        <f t="shared" ca="1" si="288"/>
        <v>#N/A</v>
      </c>
      <c r="BA120" s="107" t="e">
        <f t="shared" ca="1" si="289"/>
        <v>#N/A</v>
      </c>
      <c r="BB120" s="107" t="e">
        <f t="shared" ca="1" si="290"/>
        <v>#N/A</v>
      </c>
      <c r="BC120" s="107" t="e">
        <f t="shared" ca="1" si="291"/>
        <v>#N/A</v>
      </c>
      <c r="BE120" s="112" t="e">
        <f t="shared" ca="1" si="292"/>
        <v>#N/A</v>
      </c>
      <c r="BF120" s="112" t="e">
        <f t="shared" ca="1" si="293"/>
        <v>#N/A</v>
      </c>
      <c r="BG120" s="112" t="e">
        <f t="shared" ca="1" si="294"/>
        <v>#N/A</v>
      </c>
      <c r="BH120" s="111"/>
      <c r="BI120" s="112">
        <f t="shared" si="295"/>
        <v>52</v>
      </c>
      <c r="BJ120" s="112">
        <f t="shared" si="296"/>
        <v>58</v>
      </c>
      <c r="BK120" s="112">
        <f t="shared" si="297"/>
        <v>-2</v>
      </c>
      <c r="BL120" s="107"/>
      <c r="BM120" s="113">
        <f t="shared" si="298"/>
        <v>0.70220689655172408</v>
      </c>
      <c r="BN120" s="112">
        <f t="shared" si="299"/>
        <v>0.5962068965517241</v>
      </c>
      <c r="BO120" s="112">
        <f t="shared" si="300"/>
        <v>0.58620689655172409</v>
      </c>
      <c r="BP120" s="113">
        <f t="shared" si="302"/>
        <v>0.3462543765035056</v>
      </c>
      <c r="BQ120" s="113">
        <f t="shared" si="301"/>
        <v>0.20144327360695388</v>
      </c>
      <c r="BR120" s="113">
        <f t="shared" si="303"/>
        <v>0.21192929144286352</v>
      </c>
      <c r="BS120" s="125">
        <f t="shared" si="304"/>
        <v>0.33385846982468009</v>
      </c>
      <c r="BT120" s="113">
        <f t="shared" si="305"/>
        <v>0.20144327360695388</v>
      </c>
      <c r="BU120" s="112">
        <f t="shared" si="306"/>
        <v>0.1748204725112181</v>
      </c>
      <c r="BV120" s="255"/>
      <c r="BW120" s="115" t="s">
        <v>212</v>
      </c>
      <c r="BX120" s="115" t="s">
        <v>176</v>
      </c>
      <c r="BY120" s="112">
        <v>1.9046198726249366E-2</v>
      </c>
      <c r="BZ120" s="112">
        <v>1.9626493814450158E-2</v>
      </c>
      <c r="CA120" s="112">
        <v>1.5013208745773455E-2</v>
      </c>
      <c r="CB120" s="112"/>
      <c r="CC120" s="112"/>
      <c r="DG120" s="107"/>
      <c r="DH120" s="107"/>
      <c r="DI120" s="107"/>
      <c r="DJ120" s="107"/>
    </row>
    <row r="121" spans="1:129">
      <c r="B121" s="7"/>
      <c r="C121" s="7"/>
      <c r="D121" s="7"/>
      <c r="E121" s="7"/>
      <c r="F121" s="7"/>
      <c r="G121" s="7"/>
      <c r="H121" s="7"/>
      <c r="I121" s="7"/>
      <c r="J121" s="7"/>
      <c r="K121" s="7"/>
      <c r="L121" s="7"/>
      <c r="R121" s="64"/>
      <c r="S121" s="64"/>
      <c r="T121" s="64"/>
      <c r="U121" s="64"/>
      <c r="V121" s="64"/>
      <c r="W121" s="64"/>
      <c r="X121" s="64"/>
      <c r="Y121" s="64"/>
      <c r="Z121" s="64"/>
      <c r="AA121" s="64"/>
      <c r="AB121" s="64"/>
      <c r="AC121" s="64"/>
      <c r="AD121" s="64"/>
      <c r="AG121" s="127">
        <f t="shared" ca="1" si="273"/>
        <v>28.71</v>
      </c>
      <c r="AH121" s="127">
        <f t="shared" ca="1" si="273"/>
        <v>13.27</v>
      </c>
      <c r="AI121" s="127">
        <f t="shared" ca="1" si="273"/>
        <v>7.68</v>
      </c>
      <c r="AJ121" s="109">
        <v>17</v>
      </c>
      <c r="AK121" s="113">
        <f t="shared" ca="1" si="274"/>
        <v>0.41197103448275862</v>
      </c>
      <c r="AL121" s="112">
        <f t="shared" ca="1" si="275"/>
        <v>0.34703103448275863</v>
      </c>
      <c r="AM121" s="112">
        <f t="shared" ca="1" si="276"/>
        <v>0.38543103448275862</v>
      </c>
      <c r="AN121" s="113">
        <f t="shared" ca="1" si="277"/>
        <v>6.9919778868705318E-2</v>
      </c>
      <c r="AO121" s="113">
        <f t="shared" ca="1" si="278"/>
        <v>5.725850992699065E-2</v>
      </c>
      <c r="AP121" s="113">
        <f t="shared" ca="1" si="279"/>
        <v>4.1793134495761164E-2</v>
      </c>
      <c r="AQ121" s="125">
        <f t="shared" ca="1" si="280"/>
        <v>6.7416650785205659E-2</v>
      </c>
      <c r="AR121" s="113">
        <f t="shared" ca="1" si="281"/>
        <v>5.725850992699065E-2</v>
      </c>
      <c r="AS121" s="112">
        <f t="shared" ca="1" si="282"/>
        <v>3.4475156645553381E-2</v>
      </c>
      <c r="AT121" s="159"/>
      <c r="AU121" s="107" t="e">
        <f t="shared" ca="1" si="283"/>
        <v>#N/A</v>
      </c>
      <c r="AV121" s="107" t="e">
        <f t="shared" ca="1" si="284"/>
        <v>#N/A</v>
      </c>
      <c r="AW121" s="107" t="e">
        <f t="shared" ca="1" si="285"/>
        <v>#N/A</v>
      </c>
      <c r="AX121" s="107" t="e">
        <f t="shared" ca="1" si="286"/>
        <v>#N/A</v>
      </c>
      <c r="AY121" s="107" t="e">
        <f t="shared" ca="1" si="287"/>
        <v>#N/A</v>
      </c>
      <c r="AZ121" s="107" t="e">
        <f t="shared" ca="1" si="288"/>
        <v>#N/A</v>
      </c>
      <c r="BA121" s="107" t="e">
        <f t="shared" ca="1" si="289"/>
        <v>#N/A</v>
      </c>
      <c r="BB121" s="107" t="e">
        <f t="shared" ca="1" si="290"/>
        <v>#N/A</v>
      </c>
      <c r="BC121" s="107" t="e">
        <f t="shared" ca="1" si="291"/>
        <v>#N/A</v>
      </c>
      <c r="BE121" s="112" t="e">
        <f t="shared" ca="1" si="292"/>
        <v>#N/A</v>
      </c>
      <c r="BF121" s="112" t="e">
        <f t="shared" ca="1" si="293"/>
        <v>#N/A</v>
      </c>
      <c r="BG121" s="112" t="e">
        <f t="shared" ca="1" si="294"/>
        <v>#N/A</v>
      </c>
      <c r="BH121" s="111"/>
      <c r="BI121" s="112">
        <f t="shared" si="295"/>
        <v>28.71</v>
      </c>
      <c r="BJ121" s="112">
        <f t="shared" si="296"/>
        <v>13.27</v>
      </c>
      <c r="BK121" s="112">
        <f t="shared" si="297"/>
        <v>7.68</v>
      </c>
      <c r="BL121" s="107"/>
      <c r="BM121" s="113">
        <f t="shared" si="298"/>
        <v>0.41197103448275862</v>
      </c>
      <c r="BN121" s="112">
        <f t="shared" si="299"/>
        <v>0.34703103448275863</v>
      </c>
      <c r="BO121" s="112">
        <f t="shared" si="300"/>
        <v>0.38543103448275862</v>
      </c>
      <c r="BP121" s="113">
        <f t="shared" si="302"/>
        <v>6.9919778868705318E-2</v>
      </c>
      <c r="BQ121" s="113">
        <f t="shared" si="301"/>
        <v>5.725850992699065E-2</v>
      </c>
      <c r="BR121" s="113">
        <f t="shared" si="303"/>
        <v>4.1793134495761164E-2</v>
      </c>
      <c r="BS121" s="125">
        <f t="shared" si="304"/>
        <v>6.7416650785205659E-2</v>
      </c>
      <c r="BT121" s="113">
        <f t="shared" si="305"/>
        <v>5.725850992699065E-2</v>
      </c>
      <c r="BU121" s="112">
        <f t="shared" si="306"/>
        <v>3.4475156645553381E-2</v>
      </c>
      <c r="BV121" s="255"/>
      <c r="BW121" s="115" t="s">
        <v>213</v>
      </c>
      <c r="BX121" s="115" t="s">
        <v>177</v>
      </c>
      <c r="BY121" s="112">
        <v>9.8854121694206386E-3</v>
      </c>
      <c r="BZ121" s="112">
        <v>1.0252449874943621E-2</v>
      </c>
      <c r="CA121" s="112">
        <v>7.4169280286650102E-3</v>
      </c>
      <c r="CB121" s="112"/>
      <c r="CC121" s="112"/>
      <c r="DG121" s="107"/>
      <c r="DH121" s="107"/>
      <c r="DI121" s="107"/>
      <c r="DJ121" s="107"/>
    </row>
    <row r="122" spans="1:129">
      <c r="B122" s="7"/>
      <c r="C122" s="7"/>
      <c r="D122" s="7"/>
      <c r="E122" s="7"/>
      <c r="F122" s="7"/>
      <c r="G122" s="7"/>
      <c r="H122" s="7"/>
      <c r="I122" s="7"/>
      <c r="J122" s="7"/>
      <c r="K122" s="7"/>
      <c r="L122" s="7"/>
      <c r="R122" s="64"/>
      <c r="S122" s="64"/>
      <c r="T122" s="64"/>
      <c r="U122" s="64"/>
      <c r="V122" s="64"/>
      <c r="W122" s="64"/>
      <c r="X122" s="64"/>
      <c r="Y122" s="64"/>
      <c r="Z122" s="64"/>
      <c r="AA122" s="64"/>
      <c r="AB122" s="64"/>
      <c r="AC122" s="64"/>
      <c r="AD122" s="64"/>
      <c r="AG122" s="127">
        <f t="shared" ca="1" si="273"/>
        <v>43.61</v>
      </c>
      <c r="AH122" s="127">
        <f t="shared" ca="1" si="273"/>
        <v>25.06</v>
      </c>
      <c r="AI122" s="127">
        <f t="shared" ca="1" si="273"/>
        <v>22.8</v>
      </c>
      <c r="AJ122" s="109">
        <v>18</v>
      </c>
      <c r="AK122" s="113">
        <f t="shared" ca="1" si="274"/>
        <v>0.56399931034482753</v>
      </c>
      <c r="AL122" s="112">
        <f t="shared" ca="1" si="275"/>
        <v>0.3998793103448276</v>
      </c>
      <c r="AM122" s="112">
        <f t="shared" ca="1" si="276"/>
        <v>0.51387931034482759</v>
      </c>
      <c r="AN122" s="113">
        <f t="shared" ca="1" si="277"/>
        <v>0.17940548587114952</v>
      </c>
      <c r="AO122" s="113">
        <f t="shared" ca="1" si="278"/>
        <v>0.13570110928658924</v>
      </c>
      <c r="AP122" s="113">
        <f t="shared" ca="1" si="279"/>
        <v>6.3942086442950727E-2</v>
      </c>
      <c r="AQ122" s="125">
        <f t="shared" ca="1" si="280"/>
        <v>0.17298276947696237</v>
      </c>
      <c r="AR122" s="113">
        <f t="shared" ca="1" si="281"/>
        <v>0.13570110928658924</v>
      </c>
      <c r="AS122" s="112">
        <f t="shared" ca="1" si="282"/>
        <v>5.2745827106790051E-2</v>
      </c>
      <c r="AT122" s="159"/>
      <c r="AU122" s="107" t="e">
        <f t="shared" ca="1" si="283"/>
        <v>#N/A</v>
      </c>
      <c r="AV122" s="107" t="e">
        <f t="shared" ca="1" si="284"/>
        <v>#N/A</v>
      </c>
      <c r="AW122" s="107" t="e">
        <f t="shared" ca="1" si="285"/>
        <v>#N/A</v>
      </c>
      <c r="AX122" s="107" t="e">
        <f t="shared" ca="1" si="286"/>
        <v>#N/A</v>
      </c>
      <c r="AY122" s="107" t="e">
        <f t="shared" ca="1" si="287"/>
        <v>#N/A</v>
      </c>
      <c r="AZ122" s="107" t="e">
        <f t="shared" ca="1" si="288"/>
        <v>#N/A</v>
      </c>
      <c r="BA122" s="107" t="e">
        <f t="shared" ca="1" si="289"/>
        <v>#N/A</v>
      </c>
      <c r="BB122" s="107" t="e">
        <f t="shared" ca="1" si="290"/>
        <v>#N/A</v>
      </c>
      <c r="BC122" s="107" t="e">
        <f t="shared" ca="1" si="291"/>
        <v>#N/A</v>
      </c>
      <c r="BE122" s="112" t="e">
        <f t="shared" ca="1" si="292"/>
        <v>#N/A</v>
      </c>
      <c r="BF122" s="112" t="e">
        <f t="shared" ca="1" si="293"/>
        <v>#N/A</v>
      </c>
      <c r="BG122" s="112" t="e">
        <f t="shared" ca="1" si="294"/>
        <v>#N/A</v>
      </c>
      <c r="BH122" s="111"/>
      <c r="BI122" s="112">
        <f t="shared" si="295"/>
        <v>43.61</v>
      </c>
      <c r="BJ122" s="112">
        <f t="shared" si="296"/>
        <v>25.06</v>
      </c>
      <c r="BK122" s="112">
        <f t="shared" si="297"/>
        <v>22.8</v>
      </c>
      <c r="BL122" s="107"/>
      <c r="BM122" s="113">
        <f t="shared" si="298"/>
        <v>0.56399931034482753</v>
      </c>
      <c r="BN122" s="112">
        <f t="shared" si="299"/>
        <v>0.3998793103448276</v>
      </c>
      <c r="BO122" s="112">
        <f t="shared" si="300"/>
        <v>0.51387931034482759</v>
      </c>
      <c r="BP122" s="113">
        <f t="shared" si="302"/>
        <v>0.17940548587114952</v>
      </c>
      <c r="BQ122" s="113">
        <f t="shared" si="301"/>
        <v>0.13570110928658924</v>
      </c>
      <c r="BR122" s="113">
        <f t="shared" si="303"/>
        <v>6.3942086442950727E-2</v>
      </c>
      <c r="BS122" s="125">
        <f t="shared" si="304"/>
        <v>0.17298276947696237</v>
      </c>
      <c r="BT122" s="113">
        <f t="shared" si="305"/>
        <v>0.13570110928658924</v>
      </c>
      <c r="BU122" s="112">
        <f t="shared" si="306"/>
        <v>5.2745827106790051E-2</v>
      </c>
      <c r="BV122" s="255"/>
      <c r="BW122" s="115" t="s">
        <v>218</v>
      </c>
      <c r="BX122" s="115" t="s">
        <v>178</v>
      </c>
      <c r="BY122" s="112">
        <v>9.8854121694206386E-3</v>
      </c>
      <c r="BZ122" s="112">
        <v>1.0252449874943621E-2</v>
      </c>
      <c r="CA122" s="112">
        <v>7.4169280286650102E-3</v>
      </c>
      <c r="CB122" s="112"/>
      <c r="CC122" s="112"/>
      <c r="DG122" s="107"/>
      <c r="DH122" s="107"/>
      <c r="DI122" s="107"/>
      <c r="DJ122" s="107"/>
    </row>
    <row r="123" spans="1:129">
      <c r="B123" s="7"/>
      <c r="C123" s="7"/>
      <c r="D123" s="7"/>
      <c r="E123" s="7"/>
      <c r="F123" s="7"/>
      <c r="G123" s="7"/>
      <c r="H123" s="7"/>
      <c r="I123" s="7"/>
      <c r="J123" s="7"/>
      <c r="K123" s="7"/>
      <c r="L123" s="7"/>
      <c r="R123" s="64"/>
      <c r="S123" s="64"/>
      <c r="T123" s="64"/>
      <c r="U123" s="64"/>
      <c r="V123" s="64"/>
      <c r="W123" s="64"/>
      <c r="X123" s="64"/>
      <c r="Y123" s="64"/>
      <c r="Z123" s="64"/>
      <c r="AA123" s="64"/>
      <c r="AB123" s="64"/>
      <c r="AC123" s="64"/>
      <c r="AD123" s="64"/>
      <c r="AG123" s="127">
        <f t="shared" ca="1" si="273"/>
        <v>57.68</v>
      </c>
      <c r="AH123" s="127">
        <f t="shared" ca="1" si="273"/>
        <v>46.76</v>
      </c>
      <c r="AI123" s="127">
        <f t="shared" ca="1" si="273"/>
        <v>-3.21</v>
      </c>
      <c r="AJ123" s="109">
        <v>19</v>
      </c>
      <c r="AK123" s="113">
        <f t="shared" ca="1" si="274"/>
        <v>0.72869241379310346</v>
      </c>
      <c r="AL123" s="112">
        <f t="shared" ca="1" si="275"/>
        <v>0.65122241379310353</v>
      </c>
      <c r="AM123" s="112">
        <f t="shared" ca="1" si="276"/>
        <v>0.63517241379310352</v>
      </c>
      <c r="AN123" s="113">
        <f t="shared" ca="1" si="277"/>
        <v>0.38693030411724527</v>
      </c>
      <c r="AO123" s="113">
        <f t="shared" ca="1" si="278"/>
        <v>0.25625649628931085</v>
      </c>
      <c r="AP123" s="113">
        <f t="shared" ca="1" si="279"/>
        <v>0.27617732518559518</v>
      </c>
      <c r="AQ123" s="125">
        <f t="shared" ca="1" si="280"/>
        <v>0.37307819922984786</v>
      </c>
      <c r="AR123" s="113">
        <f t="shared" ca="1" si="281"/>
        <v>0.25625649628931085</v>
      </c>
      <c r="AS123" s="112">
        <f t="shared" ca="1" si="282"/>
        <v>0.22781867554559745</v>
      </c>
      <c r="AT123" s="159"/>
      <c r="AU123" s="107" t="e">
        <f t="shared" ca="1" si="283"/>
        <v>#N/A</v>
      </c>
      <c r="AV123" s="107" t="e">
        <f t="shared" ca="1" si="284"/>
        <v>#N/A</v>
      </c>
      <c r="AW123" s="107" t="e">
        <f t="shared" ca="1" si="285"/>
        <v>#N/A</v>
      </c>
      <c r="AX123" s="107" t="e">
        <f t="shared" ca="1" si="286"/>
        <v>#N/A</v>
      </c>
      <c r="AY123" s="107" t="e">
        <f t="shared" ca="1" si="287"/>
        <v>#N/A</v>
      </c>
      <c r="AZ123" s="107" t="e">
        <f t="shared" ca="1" si="288"/>
        <v>#N/A</v>
      </c>
      <c r="BA123" s="107" t="e">
        <f t="shared" ca="1" si="289"/>
        <v>#N/A</v>
      </c>
      <c r="BB123" s="107" t="e">
        <f t="shared" ca="1" si="290"/>
        <v>#N/A</v>
      </c>
      <c r="BC123" s="107" t="e">
        <f t="shared" ca="1" si="291"/>
        <v>#N/A</v>
      </c>
      <c r="BE123" s="112" t="e">
        <f t="shared" ca="1" si="292"/>
        <v>#N/A</v>
      </c>
      <c r="BF123" s="112" t="e">
        <f t="shared" ca="1" si="293"/>
        <v>#N/A</v>
      </c>
      <c r="BG123" s="112" t="e">
        <f t="shared" ca="1" si="294"/>
        <v>#N/A</v>
      </c>
      <c r="BH123" s="111"/>
      <c r="BI123" s="112">
        <f t="shared" si="295"/>
        <v>57.68</v>
      </c>
      <c r="BJ123" s="112">
        <f t="shared" si="296"/>
        <v>46.76</v>
      </c>
      <c r="BK123" s="112">
        <f t="shared" si="297"/>
        <v>-3.21</v>
      </c>
      <c r="BL123" s="107"/>
      <c r="BM123" s="113">
        <f t="shared" si="298"/>
        <v>0.72869241379310346</v>
      </c>
      <c r="BN123" s="112">
        <f t="shared" si="299"/>
        <v>0.65122241379310353</v>
      </c>
      <c r="BO123" s="112">
        <f t="shared" si="300"/>
        <v>0.63517241379310352</v>
      </c>
      <c r="BP123" s="113">
        <f t="shared" si="302"/>
        <v>0.38693030411724527</v>
      </c>
      <c r="BQ123" s="113">
        <f t="shared" si="301"/>
        <v>0.25625649628931085</v>
      </c>
      <c r="BR123" s="113">
        <f t="shared" si="303"/>
        <v>0.27617732518559518</v>
      </c>
      <c r="BS123" s="125">
        <f t="shared" si="304"/>
        <v>0.37307819922984786</v>
      </c>
      <c r="BT123" s="113">
        <f t="shared" si="305"/>
        <v>0.25625649628931085</v>
      </c>
      <c r="BU123" s="112">
        <f t="shared" si="306"/>
        <v>0.22781867554559745</v>
      </c>
      <c r="BV123" s="255"/>
      <c r="BW123" s="115" t="s">
        <v>214</v>
      </c>
      <c r="BX123" s="115" t="s">
        <v>179</v>
      </c>
      <c r="BY123" s="112">
        <v>9.763992626140772E-3</v>
      </c>
      <c r="BZ123" s="112">
        <v>1.0070458009374105E-2</v>
      </c>
      <c r="CA123" s="112">
        <v>8.0841083682756491E-3</v>
      </c>
      <c r="CB123" s="112"/>
      <c r="CC123" s="112"/>
      <c r="DG123" s="107"/>
      <c r="DH123" s="107"/>
      <c r="DI123" s="107"/>
      <c r="DJ123" s="107"/>
    </row>
    <row r="124" spans="1:129">
      <c r="B124" s="7"/>
      <c r="C124" s="7"/>
      <c r="D124" s="7"/>
      <c r="E124" s="7"/>
      <c r="F124" s="7"/>
      <c r="G124" s="7"/>
      <c r="H124" s="7"/>
      <c r="I124" s="7"/>
      <c r="J124" s="7"/>
      <c r="K124" s="7"/>
      <c r="L124" s="7"/>
      <c r="R124" s="64"/>
      <c r="S124" s="64"/>
      <c r="T124" s="64"/>
      <c r="U124" s="64"/>
      <c r="V124" s="64"/>
      <c r="W124" s="64"/>
      <c r="X124" s="64"/>
      <c r="Y124" s="64"/>
      <c r="Z124" s="64"/>
      <c r="AA124" s="64"/>
      <c r="AB124" s="64"/>
      <c r="AC124" s="64"/>
      <c r="AD124" s="64"/>
      <c r="AG124" s="127">
        <f t="shared" ca="1" si="273"/>
        <v>51</v>
      </c>
      <c r="AH124" s="127">
        <f t="shared" ca="1" si="273"/>
        <v>55</v>
      </c>
      <c r="AI124" s="127">
        <f t="shared" ca="1" si="273"/>
        <v>32</v>
      </c>
      <c r="AJ124" s="109">
        <v>20</v>
      </c>
      <c r="AK124" s="113">
        <f t="shared" ca="1" si="274"/>
        <v>0.6875862068965517</v>
      </c>
      <c r="AL124" s="112">
        <f t="shared" ca="1" si="275"/>
        <v>0.41758620689655168</v>
      </c>
      <c r="AM124" s="112">
        <f t="shared" ca="1" si="276"/>
        <v>0.57758620689655171</v>
      </c>
      <c r="AN124" s="113">
        <f t="shared" ca="1" si="277"/>
        <v>0.32507342588872029</v>
      </c>
      <c r="AO124" s="113">
        <f t="shared" ca="1" si="278"/>
        <v>0.19268612386731723</v>
      </c>
      <c r="AP124" s="113">
        <f t="shared" ca="1" si="279"/>
        <v>7.2817947886342174E-2</v>
      </c>
      <c r="AQ124" s="125">
        <f t="shared" ca="1" si="280"/>
        <v>0.31343579724190407</v>
      </c>
      <c r="AR124" s="113">
        <f t="shared" ca="1" si="281"/>
        <v>0.19268612386731723</v>
      </c>
      <c r="AS124" s="112">
        <f t="shared" ca="1" si="282"/>
        <v>6.0067525211443658E-2</v>
      </c>
      <c r="AT124" s="159"/>
      <c r="AU124" s="107" t="e">
        <f t="shared" ca="1" si="283"/>
        <v>#N/A</v>
      </c>
      <c r="AV124" s="107" t="e">
        <f t="shared" ca="1" si="284"/>
        <v>#N/A</v>
      </c>
      <c r="AW124" s="107" t="e">
        <f t="shared" ca="1" si="285"/>
        <v>#N/A</v>
      </c>
      <c r="AX124" s="107" t="e">
        <f t="shared" ca="1" si="286"/>
        <v>#N/A</v>
      </c>
      <c r="AY124" s="107" t="e">
        <f t="shared" ca="1" si="287"/>
        <v>#N/A</v>
      </c>
      <c r="AZ124" s="107" t="e">
        <f t="shared" ca="1" si="288"/>
        <v>#N/A</v>
      </c>
      <c r="BA124" s="107" t="e">
        <f t="shared" ca="1" si="289"/>
        <v>#N/A</v>
      </c>
      <c r="BB124" s="107" t="e">
        <f t="shared" ca="1" si="290"/>
        <v>#N/A</v>
      </c>
      <c r="BC124" s="107" t="e">
        <f t="shared" ca="1" si="291"/>
        <v>#N/A</v>
      </c>
      <c r="BE124" s="112" t="e">
        <f t="shared" ca="1" si="292"/>
        <v>#N/A</v>
      </c>
      <c r="BF124" s="112" t="e">
        <f t="shared" ca="1" si="293"/>
        <v>#N/A</v>
      </c>
      <c r="BG124" s="112" t="e">
        <f t="shared" ca="1" si="294"/>
        <v>#N/A</v>
      </c>
      <c r="BH124" s="111"/>
      <c r="BI124" s="112">
        <f t="shared" si="295"/>
        <v>51</v>
      </c>
      <c r="BJ124" s="112">
        <f t="shared" si="296"/>
        <v>55</v>
      </c>
      <c r="BK124" s="112">
        <f t="shared" si="297"/>
        <v>32</v>
      </c>
      <c r="BL124" s="107"/>
      <c r="BM124" s="113">
        <f t="shared" si="298"/>
        <v>0.6875862068965517</v>
      </c>
      <c r="BN124" s="112">
        <f t="shared" si="299"/>
        <v>0.41758620689655168</v>
      </c>
      <c r="BO124" s="112">
        <f t="shared" si="300"/>
        <v>0.57758620689655171</v>
      </c>
      <c r="BP124" s="113">
        <f t="shared" si="302"/>
        <v>0.32507342588872029</v>
      </c>
      <c r="BQ124" s="113">
        <f t="shared" si="301"/>
        <v>0.19268612386731723</v>
      </c>
      <c r="BR124" s="113">
        <f t="shared" si="303"/>
        <v>7.2817947886342174E-2</v>
      </c>
      <c r="BS124" s="125">
        <f t="shared" si="304"/>
        <v>0.31343579724190407</v>
      </c>
      <c r="BT124" s="113">
        <f t="shared" si="305"/>
        <v>0.19268612386731723</v>
      </c>
      <c r="BU124" s="112">
        <f t="shared" si="306"/>
        <v>6.0067525211443658E-2</v>
      </c>
      <c r="BV124" s="255"/>
      <c r="BW124" s="115" t="s">
        <v>215</v>
      </c>
      <c r="BX124" s="115" t="s">
        <v>180</v>
      </c>
      <c r="BY124" s="112">
        <v>4.6677163554061278E-3</v>
      </c>
      <c r="BZ124" s="112">
        <v>4.8821189880683914E-3</v>
      </c>
      <c r="CA124" s="112">
        <v>2.5600953634835372E-3</v>
      </c>
      <c r="CB124" s="112"/>
      <c r="CC124" s="112"/>
      <c r="DG124" s="107"/>
      <c r="DH124" s="107"/>
      <c r="DI124" s="107"/>
      <c r="DJ124" s="107"/>
    </row>
    <row r="125" spans="1:129">
      <c r="B125" s="7"/>
      <c r="C125" s="7"/>
      <c r="D125" s="7"/>
      <c r="E125" s="7"/>
      <c r="F125" s="7"/>
      <c r="G125" s="7"/>
      <c r="H125" s="7"/>
      <c r="I125" s="7"/>
      <c r="J125" s="7"/>
      <c r="K125" s="7"/>
      <c r="L125" s="7"/>
      <c r="R125" s="64"/>
      <c r="S125" s="64"/>
      <c r="T125" s="64"/>
      <c r="U125" s="64"/>
      <c r="V125" s="64"/>
      <c r="W125" s="64"/>
      <c r="X125" s="64"/>
      <c r="Y125" s="64"/>
      <c r="Z125" s="64"/>
      <c r="AA125" s="64"/>
      <c r="AB125" s="64"/>
      <c r="AC125" s="64"/>
      <c r="AD125" s="64"/>
      <c r="AG125" s="127">
        <f t="shared" ref="AG125:AI144" ca="1" si="307">INDEX(INDIRECT($AI$9),$AJ125,AG$103)</f>
        <v>44.77</v>
      </c>
      <c r="AH125" s="127">
        <f t="shared" ca="1" si="307"/>
        <v>-21.13</v>
      </c>
      <c r="AI125" s="127">
        <f t="shared" ca="1" si="307"/>
        <v>18.71</v>
      </c>
      <c r="AJ125" s="109">
        <v>21</v>
      </c>
      <c r="AK125" s="113">
        <f t="shared" ca="1" si="274"/>
        <v>0.48161931034482758</v>
      </c>
      <c r="AL125" s="112">
        <f t="shared" ca="1" si="275"/>
        <v>0.43032931034482758</v>
      </c>
      <c r="AM125" s="112">
        <f t="shared" ca="1" si="276"/>
        <v>0.5238793103448276</v>
      </c>
      <c r="AN125" s="113">
        <f t="shared" ca="1" si="277"/>
        <v>0.11171504747547507</v>
      </c>
      <c r="AO125" s="113">
        <f t="shared" ca="1" si="278"/>
        <v>0.14377843144770697</v>
      </c>
      <c r="AP125" s="113">
        <f t="shared" ca="1" si="279"/>
        <v>7.968980837842915E-2</v>
      </c>
      <c r="AQ125" s="125">
        <f t="shared" ca="1" si="280"/>
        <v>0.10771564877585306</v>
      </c>
      <c r="AR125" s="113">
        <f t="shared" ca="1" si="281"/>
        <v>0.14377843144770697</v>
      </c>
      <c r="AS125" s="112">
        <f t="shared" ca="1" si="282"/>
        <v>6.57361229313662E-2</v>
      </c>
      <c r="AT125" s="159"/>
      <c r="AU125" s="107" t="e">
        <f t="shared" ca="1" si="283"/>
        <v>#N/A</v>
      </c>
      <c r="AV125" s="107" t="e">
        <f t="shared" ca="1" si="284"/>
        <v>#N/A</v>
      </c>
      <c r="AW125" s="107" t="e">
        <f t="shared" ca="1" si="285"/>
        <v>#N/A</v>
      </c>
      <c r="AX125" s="107" t="e">
        <f t="shared" ca="1" si="286"/>
        <v>#N/A</v>
      </c>
      <c r="AY125" s="107" t="e">
        <f t="shared" ca="1" si="287"/>
        <v>#N/A</v>
      </c>
      <c r="AZ125" s="107" t="e">
        <f t="shared" ca="1" si="288"/>
        <v>#N/A</v>
      </c>
      <c r="BA125" s="107" t="e">
        <f t="shared" ca="1" si="289"/>
        <v>#N/A</v>
      </c>
      <c r="BB125" s="107" t="e">
        <f t="shared" ca="1" si="290"/>
        <v>#N/A</v>
      </c>
      <c r="BC125" s="107" t="e">
        <f t="shared" ca="1" si="291"/>
        <v>#N/A</v>
      </c>
      <c r="BE125" s="112" t="e">
        <f t="shared" ca="1" si="292"/>
        <v>#N/A</v>
      </c>
      <c r="BF125" s="112" t="e">
        <f t="shared" ca="1" si="293"/>
        <v>#N/A</v>
      </c>
      <c r="BG125" s="112" t="e">
        <f t="shared" ca="1" si="294"/>
        <v>#N/A</v>
      </c>
      <c r="BH125" s="111"/>
      <c r="BI125" s="112">
        <f t="shared" si="295"/>
        <v>44.77</v>
      </c>
      <c r="BJ125" s="112">
        <f t="shared" si="296"/>
        <v>-21.13</v>
      </c>
      <c r="BK125" s="112">
        <f t="shared" si="297"/>
        <v>18.71</v>
      </c>
      <c r="BL125" s="107"/>
      <c r="BM125" s="113">
        <f t="shared" si="298"/>
        <v>0.48161931034482758</v>
      </c>
      <c r="BN125" s="112">
        <f t="shared" si="299"/>
        <v>0.43032931034482758</v>
      </c>
      <c r="BO125" s="112">
        <f t="shared" si="300"/>
        <v>0.5238793103448276</v>
      </c>
      <c r="BP125" s="113">
        <f t="shared" si="302"/>
        <v>0.11171504747547507</v>
      </c>
      <c r="BQ125" s="113">
        <f t="shared" si="301"/>
        <v>0.14377843144770697</v>
      </c>
      <c r="BR125" s="113">
        <f t="shared" si="303"/>
        <v>7.968980837842915E-2</v>
      </c>
      <c r="BS125" s="125">
        <f t="shared" si="304"/>
        <v>0.10771564877585306</v>
      </c>
      <c r="BT125" s="113">
        <f t="shared" si="305"/>
        <v>0.14377843144770697</v>
      </c>
      <c r="BU125" s="112">
        <f t="shared" si="306"/>
        <v>6.57361229313662E-2</v>
      </c>
      <c r="BV125" s="255"/>
      <c r="BZ125" s="112"/>
      <c r="CA125" s="112"/>
      <c r="CB125" s="112"/>
      <c r="CC125" s="112"/>
      <c r="DG125" s="107"/>
      <c r="DH125" s="107"/>
      <c r="DI125" s="107"/>
      <c r="DJ125" s="107"/>
    </row>
    <row r="126" spans="1:129">
      <c r="B126" s="7"/>
      <c r="C126" s="7"/>
      <c r="D126" s="7"/>
      <c r="E126" s="7"/>
      <c r="F126" s="7"/>
      <c r="G126" s="7"/>
      <c r="H126" s="7"/>
      <c r="I126" s="7"/>
      <c r="J126" s="7"/>
      <c r="K126" s="7"/>
      <c r="L126" s="7"/>
      <c r="R126" s="64"/>
      <c r="S126" s="64"/>
      <c r="T126" s="64"/>
      <c r="U126" s="64"/>
      <c r="V126" s="64"/>
      <c r="W126" s="64"/>
      <c r="X126" s="64"/>
      <c r="Y126" s="64"/>
      <c r="Z126" s="64"/>
      <c r="AA126" s="64"/>
      <c r="AB126" s="64"/>
      <c r="AC126" s="64"/>
      <c r="AD126" s="64"/>
      <c r="AG126" s="127">
        <f t="shared" ca="1" si="307"/>
        <v>66.150000000000006</v>
      </c>
      <c r="AH126" s="127">
        <f t="shared" ca="1" si="307"/>
        <v>31.8</v>
      </c>
      <c r="AI126" s="127">
        <f t="shared" ca="1" si="307"/>
        <v>-2.98</v>
      </c>
      <c r="AJ126" s="109">
        <v>22</v>
      </c>
      <c r="AK126" s="113">
        <f t="shared" ca="1" si="274"/>
        <v>0.77178965517241382</v>
      </c>
      <c r="AL126" s="112">
        <f t="shared" ca="1" si="275"/>
        <v>0.72308965517241386</v>
      </c>
      <c r="AM126" s="112">
        <f t="shared" ca="1" si="276"/>
        <v>0.70818965517241383</v>
      </c>
      <c r="AN126" s="113">
        <f t="shared" ca="1" si="277"/>
        <v>0.45972366400681702</v>
      </c>
      <c r="AO126" s="113">
        <f t="shared" ca="1" si="278"/>
        <v>0.35518019033619158</v>
      </c>
      <c r="AP126" s="113">
        <f t="shared" ca="1" si="279"/>
        <v>0.37807368051111312</v>
      </c>
      <c r="AQ126" s="125">
        <f t="shared" ca="1" si="280"/>
        <v>0.44326555683537294</v>
      </c>
      <c r="AR126" s="113">
        <f t="shared" ca="1" si="281"/>
        <v>0.35518019033619158</v>
      </c>
      <c r="AS126" s="112">
        <f t="shared" ca="1" si="282"/>
        <v>0.31187297905361722</v>
      </c>
      <c r="AT126" s="159"/>
      <c r="AU126" s="107" t="e">
        <f t="shared" ca="1" si="283"/>
        <v>#N/A</v>
      </c>
      <c r="AV126" s="107" t="e">
        <f t="shared" ca="1" si="284"/>
        <v>#N/A</v>
      </c>
      <c r="AW126" s="107" t="e">
        <f t="shared" ca="1" si="285"/>
        <v>#N/A</v>
      </c>
      <c r="AX126" s="107" t="e">
        <f t="shared" ca="1" si="286"/>
        <v>#N/A</v>
      </c>
      <c r="AY126" s="107" t="e">
        <f t="shared" ca="1" si="287"/>
        <v>#N/A</v>
      </c>
      <c r="AZ126" s="107" t="e">
        <f t="shared" ca="1" si="288"/>
        <v>#N/A</v>
      </c>
      <c r="BA126" s="107" t="e">
        <f t="shared" ca="1" si="289"/>
        <v>#N/A</v>
      </c>
      <c r="BB126" s="107" t="e">
        <f t="shared" ca="1" si="290"/>
        <v>#N/A</v>
      </c>
      <c r="BC126" s="107" t="e">
        <f t="shared" ca="1" si="291"/>
        <v>#N/A</v>
      </c>
      <c r="BE126" s="112" t="e">
        <f t="shared" ca="1" si="292"/>
        <v>#N/A</v>
      </c>
      <c r="BF126" s="112" t="e">
        <f t="shared" ca="1" si="293"/>
        <v>#N/A</v>
      </c>
      <c r="BG126" s="112" t="e">
        <f t="shared" ca="1" si="294"/>
        <v>#N/A</v>
      </c>
      <c r="BH126" s="111"/>
      <c r="BI126" s="112">
        <f t="shared" si="295"/>
        <v>66.150000000000006</v>
      </c>
      <c r="BJ126" s="112">
        <f t="shared" si="296"/>
        <v>31.8</v>
      </c>
      <c r="BK126" s="112">
        <f t="shared" si="297"/>
        <v>-2.98</v>
      </c>
      <c r="BL126" s="107"/>
      <c r="BM126" s="113">
        <f t="shared" si="298"/>
        <v>0.77178965517241382</v>
      </c>
      <c r="BN126" s="112">
        <f t="shared" si="299"/>
        <v>0.72308965517241386</v>
      </c>
      <c r="BO126" s="112">
        <f t="shared" si="300"/>
        <v>0.70818965517241383</v>
      </c>
      <c r="BP126" s="113">
        <f t="shared" si="302"/>
        <v>0.45972366400681702</v>
      </c>
      <c r="BQ126" s="113">
        <f t="shared" si="301"/>
        <v>0.35518019033619158</v>
      </c>
      <c r="BR126" s="113">
        <f t="shared" si="303"/>
        <v>0.37807368051111312</v>
      </c>
      <c r="BS126" s="125">
        <f t="shared" si="304"/>
        <v>0.44326555683537294</v>
      </c>
      <c r="BT126" s="113">
        <f t="shared" si="305"/>
        <v>0.35518019033619158</v>
      </c>
      <c r="BU126" s="112">
        <f t="shared" si="306"/>
        <v>0.31187297905361722</v>
      </c>
      <c r="BV126" s="255"/>
      <c r="BZ126" s="112"/>
      <c r="CA126" s="112"/>
      <c r="CB126" s="112"/>
      <c r="CC126" s="112"/>
      <c r="DG126" s="107"/>
      <c r="DH126" s="107"/>
      <c r="DI126" s="107"/>
      <c r="DJ126" s="107"/>
    </row>
    <row r="127" spans="1:129">
      <c r="B127" s="7"/>
      <c r="C127" s="7"/>
      <c r="D127" s="7"/>
      <c r="E127" s="7"/>
      <c r="F127" s="7"/>
      <c r="G127" s="7"/>
      <c r="H127" s="7"/>
      <c r="I127" s="7"/>
      <c r="J127" s="7"/>
      <c r="K127" s="7"/>
      <c r="L127" s="7"/>
      <c r="R127" s="64"/>
      <c r="S127" s="64"/>
      <c r="T127" s="64"/>
      <c r="U127" s="64"/>
      <c r="V127" s="64"/>
      <c r="W127" s="64"/>
      <c r="X127" s="64"/>
      <c r="Y127" s="64"/>
      <c r="Z127" s="64"/>
      <c r="AA127" s="64"/>
      <c r="AB127" s="64"/>
      <c r="AC127" s="64"/>
      <c r="AD127" s="64"/>
      <c r="AG127" s="127">
        <f t="shared" ca="1" si="307"/>
        <v>56.66</v>
      </c>
      <c r="AH127" s="127">
        <f t="shared" ca="1" si="307"/>
        <v>44.43</v>
      </c>
      <c r="AI127" s="127">
        <f t="shared" ca="1" si="307"/>
        <v>29.05</v>
      </c>
      <c r="AJ127" s="109">
        <v>23</v>
      </c>
      <c r="AK127" s="113">
        <f t="shared" ca="1" si="274"/>
        <v>0.71523931034482757</v>
      </c>
      <c r="AL127" s="112">
        <f t="shared" ca="1" si="275"/>
        <v>0.48112931034482753</v>
      </c>
      <c r="AM127" s="112">
        <f t="shared" ca="1" si="276"/>
        <v>0.62637931034482752</v>
      </c>
      <c r="AN127" s="113">
        <f t="shared" ca="1" si="277"/>
        <v>0.36589302214975983</v>
      </c>
      <c r="AO127" s="113">
        <f t="shared" ca="1" si="278"/>
        <v>0.24576057411640484</v>
      </c>
      <c r="AP127" s="113">
        <f t="shared" ca="1" si="279"/>
        <v>0.11137441724287266</v>
      </c>
      <c r="AQ127" s="125">
        <f t="shared" ca="1" si="280"/>
        <v>0.35279405195679842</v>
      </c>
      <c r="AR127" s="113">
        <f t="shared" ca="1" si="281"/>
        <v>0.24576057411640484</v>
      </c>
      <c r="AS127" s="112">
        <f t="shared" ca="1" si="282"/>
        <v>9.1872756783645648E-2</v>
      </c>
      <c r="AT127" s="159"/>
      <c r="AU127" s="107" t="e">
        <f t="shared" ca="1" si="283"/>
        <v>#N/A</v>
      </c>
      <c r="AV127" s="107" t="e">
        <f t="shared" ca="1" si="284"/>
        <v>#N/A</v>
      </c>
      <c r="AW127" s="107" t="e">
        <f t="shared" ca="1" si="285"/>
        <v>#N/A</v>
      </c>
      <c r="AX127" s="107" t="e">
        <f t="shared" ca="1" si="286"/>
        <v>#N/A</v>
      </c>
      <c r="AY127" s="107" t="e">
        <f t="shared" ca="1" si="287"/>
        <v>#N/A</v>
      </c>
      <c r="AZ127" s="107" t="e">
        <f t="shared" ca="1" si="288"/>
        <v>#N/A</v>
      </c>
      <c r="BA127" s="107" t="e">
        <f t="shared" ca="1" si="289"/>
        <v>#N/A</v>
      </c>
      <c r="BB127" s="107" t="e">
        <f t="shared" ca="1" si="290"/>
        <v>#N/A</v>
      </c>
      <c r="BC127" s="107" t="e">
        <f t="shared" ca="1" si="291"/>
        <v>#N/A</v>
      </c>
      <c r="BE127" s="112" t="e">
        <f t="shared" ca="1" si="292"/>
        <v>#N/A</v>
      </c>
      <c r="BF127" s="112" t="e">
        <f t="shared" ca="1" si="293"/>
        <v>#N/A</v>
      </c>
      <c r="BG127" s="112" t="e">
        <f t="shared" ca="1" si="294"/>
        <v>#N/A</v>
      </c>
      <c r="BH127" s="111"/>
      <c r="BI127" s="112">
        <f t="shared" si="295"/>
        <v>56.66</v>
      </c>
      <c r="BJ127" s="112">
        <f t="shared" si="296"/>
        <v>44.43</v>
      </c>
      <c r="BK127" s="112">
        <f t="shared" si="297"/>
        <v>29.05</v>
      </c>
      <c r="BL127" s="107"/>
      <c r="BM127" s="113">
        <f t="shared" si="298"/>
        <v>0.71523931034482757</v>
      </c>
      <c r="BN127" s="112">
        <f t="shared" si="299"/>
        <v>0.48112931034482753</v>
      </c>
      <c r="BO127" s="112">
        <f t="shared" si="300"/>
        <v>0.62637931034482752</v>
      </c>
      <c r="BP127" s="113">
        <f t="shared" si="302"/>
        <v>0.36589302214975983</v>
      </c>
      <c r="BQ127" s="113">
        <f t="shared" si="301"/>
        <v>0.24576057411640484</v>
      </c>
      <c r="BR127" s="113">
        <f t="shared" si="303"/>
        <v>0.11137441724287266</v>
      </c>
      <c r="BS127" s="125">
        <f t="shared" si="304"/>
        <v>0.35279405195679842</v>
      </c>
      <c r="BT127" s="113">
        <f t="shared" si="305"/>
        <v>0.24576057411640484</v>
      </c>
      <c r="BU127" s="112">
        <f t="shared" si="306"/>
        <v>9.1872756783645648E-2</v>
      </c>
      <c r="BV127" s="255"/>
      <c r="BW127" s="117" t="s">
        <v>255</v>
      </c>
      <c r="BZ127" s="112"/>
      <c r="CA127" s="112"/>
      <c r="CB127" s="112"/>
      <c r="CC127" s="112"/>
      <c r="DG127" s="107"/>
      <c r="DH127" s="107"/>
      <c r="DI127" s="107"/>
      <c r="DJ127" s="107"/>
    </row>
    <row r="128" spans="1:129">
      <c r="B128" s="7"/>
      <c r="C128" s="7"/>
      <c r="D128" s="7"/>
      <c r="E128" s="7"/>
      <c r="F128" s="7"/>
      <c r="G128" s="7"/>
      <c r="H128" s="7"/>
      <c r="I128" s="7"/>
      <c r="J128" s="7"/>
      <c r="K128" s="7"/>
      <c r="L128" s="7"/>
      <c r="R128" s="64"/>
      <c r="S128" s="64"/>
      <c r="T128" s="64"/>
      <c r="U128" s="64"/>
      <c r="V128" s="64"/>
      <c r="W128" s="64"/>
      <c r="X128" s="64"/>
      <c r="Y128" s="64"/>
      <c r="Z128" s="64"/>
      <c r="AA128" s="64"/>
      <c r="AB128" s="64"/>
      <c r="AC128" s="64"/>
      <c r="AD128" s="64"/>
      <c r="AG128" s="127">
        <f t="shared" ca="1" si="307"/>
        <v>40.83</v>
      </c>
      <c r="AH128" s="127">
        <f t="shared" ca="1" si="307"/>
        <v>-27.24</v>
      </c>
      <c r="AI128" s="127">
        <f t="shared" ca="1" si="307"/>
        <v>11.4</v>
      </c>
      <c r="AJ128" s="109">
        <v>24</v>
      </c>
      <c r="AK128" s="113">
        <f t="shared" ca="1" si="274"/>
        <v>0.43543379310344826</v>
      </c>
      <c r="AL128" s="112">
        <f t="shared" ca="1" si="275"/>
        <v>0.43291379310344824</v>
      </c>
      <c r="AM128" s="112">
        <f t="shared" ca="1" si="276"/>
        <v>0.48991379310344824</v>
      </c>
      <c r="AN128" s="113">
        <f t="shared" ca="1" si="277"/>
        <v>8.2559374151905507E-2</v>
      </c>
      <c r="AO128" s="113">
        <f t="shared" ca="1" si="278"/>
        <v>0.11758691609626776</v>
      </c>
      <c r="AP128" s="113">
        <f t="shared" ca="1" si="279"/>
        <v>8.1134258118562647E-2</v>
      </c>
      <c r="AQ128" s="125">
        <f t="shared" ca="1" si="280"/>
        <v>7.960374855726729E-2</v>
      </c>
      <c r="AR128" s="113">
        <f t="shared" ca="1" si="281"/>
        <v>0.11758691609626776</v>
      </c>
      <c r="AS128" s="112">
        <f t="shared" ca="1" si="282"/>
        <v>6.6927649522002322E-2</v>
      </c>
      <c r="AT128" s="159"/>
      <c r="AU128" s="107" t="e">
        <f t="shared" ca="1" si="283"/>
        <v>#N/A</v>
      </c>
      <c r="AV128" s="107" t="e">
        <f t="shared" ca="1" si="284"/>
        <v>#N/A</v>
      </c>
      <c r="AW128" s="107" t="e">
        <f t="shared" ca="1" si="285"/>
        <v>#N/A</v>
      </c>
      <c r="AX128" s="107" t="e">
        <f t="shared" ca="1" si="286"/>
        <v>#N/A</v>
      </c>
      <c r="AY128" s="107" t="e">
        <f t="shared" ca="1" si="287"/>
        <v>#N/A</v>
      </c>
      <c r="AZ128" s="107" t="e">
        <f t="shared" ca="1" si="288"/>
        <v>#N/A</v>
      </c>
      <c r="BA128" s="107" t="e">
        <f t="shared" ca="1" si="289"/>
        <v>#N/A</v>
      </c>
      <c r="BB128" s="107" t="e">
        <f t="shared" ca="1" si="290"/>
        <v>#N/A</v>
      </c>
      <c r="BC128" s="107" t="e">
        <f t="shared" ca="1" si="291"/>
        <v>#N/A</v>
      </c>
      <c r="BE128" s="112" t="e">
        <f t="shared" ca="1" si="292"/>
        <v>#N/A</v>
      </c>
      <c r="BF128" s="112" t="e">
        <f t="shared" ca="1" si="293"/>
        <v>#N/A</v>
      </c>
      <c r="BG128" s="112" t="e">
        <f t="shared" ca="1" si="294"/>
        <v>#N/A</v>
      </c>
      <c r="BH128" s="111"/>
      <c r="BI128" s="112">
        <f t="shared" si="295"/>
        <v>40.83</v>
      </c>
      <c r="BJ128" s="112">
        <f t="shared" si="296"/>
        <v>-27.24</v>
      </c>
      <c r="BK128" s="112">
        <f t="shared" si="297"/>
        <v>11.4</v>
      </c>
      <c r="BL128" s="107"/>
      <c r="BM128" s="113">
        <f t="shared" si="298"/>
        <v>0.43543379310344826</v>
      </c>
      <c r="BN128" s="112">
        <f t="shared" si="299"/>
        <v>0.43291379310344824</v>
      </c>
      <c r="BO128" s="112">
        <f t="shared" si="300"/>
        <v>0.48991379310344824</v>
      </c>
      <c r="BP128" s="113">
        <f t="shared" si="302"/>
        <v>8.2559374151905507E-2</v>
      </c>
      <c r="BQ128" s="113">
        <f t="shared" si="301"/>
        <v>0.11758691609626776</v>
      </c>
      <c r="BR128" s="113">
        <f t="shared" si="303"/>
        <v>8.1134258118562647E-2</v>
      </c>
      <c r="BS128" s="125">
        <f t="shared" si="304"/>
        <v>7.960374855726729E-2</v>
      </c>
      <c r="BT128" s="113">
        <f t="shared" si="305"/>
        <v>0.11758691609626776</v>
      </c>
      <c r="BU128" s="112">
        <f t="shared" si="306"/>
        <v>6.6927649522002322E-2</v>
      </c>
      <c r="BV128" s="255"/>
      <c r="BZ128" s="112"/>
      <c r="CA128" s="112"/>
      <c r="CB128" s="112"/>
      <c r="CC128" s="112"/>
      <c r="DG128" s="107"/>
      <c r="DH128" s="107"/>
      <c r="DI128" s="107"/>
      <c r="DJ128" s="107"/>
    </row>
    <row r="129" spans="2:114">
      <c r="B129" s="7"/>
      <c r="C129" s="7"/>
      <c r="D129" s="7"/>
      <c r="E129" s="7"/>
      <c r="F129" s="7"/>
      <c r="G129" s="7"/>
      <c r="H129" s="7"/>
      <c r="I129" s="7"/>
      <c r="J129" s="7"/>
      <c r="K129" s="7"/>
      <c r="L129" s="7"/>
      <c r="R129" s="64"/>
      <c r="S129" s="64"/>
      <c r="T129" s="64"/>
      <c r="U129" s="64"/>
      <c r="V129" s="64"/>
      <c r="W129" s="64"/>
      <c r="X129" s="64"/>
      <c r="Y129" s="64"/>
      <c r="Z129" s="64"/>
      <c r="AA129" s="64"/>
      <c r="AB129" s="64"/>
      <c r="AC129" s="64"/>
      <c r="AD129" s="64"/>
      <c r="AG129" s="127">
        <f t="shared" ca="1" si="307"/>
        <v>75.849999999999994</v>
      </c>
      <c r="AH129" s="127">
        <f t="shared" ca="1" si="307"/>
        <v>16.52</v>
      </c>
      <c r="AI129" s="127">
        <f t="shared" ca="1" si="307"/>
        <v>-0.77</v>
      </c>
      <c r="AJ129" s="109">
        <v>25</v>
      </c>
      <c r="AK129" s="113">
        <f t="shared" ca="1" si="274"/>
        <v>0.82485034482758612</v>
      </c>
      <c r="AL129" s="112">
        <f t="shared" ca="1" si="275"/>
        <v>0.79566034482758619</v>
      </c>
      <c r="AM129" s="112">
        <f t="shared" ca="1" si="276"/>
        <v>0.79181034482758617</v>
      </c>
      <c r="AN129" s="113">
        <f t="shared" ca="1" si="277"/>
        <v>0.56121010327323551</v>
      </c>
      <c r="AO129" s="113">
        <f t="shared" ca="1" si="278"/>
        <v>0.49643628186951588</v>
      </c>
      <c r="AP129" s="113">
        <f t="shared" ca="1" si="279"/>
        <v>0.50371297859878217</v>
      </c>
      <c r="AQ129" s="125">
        <f t="shared" ca="1" si="280"/>
        <v>0.54111878157605364</v>
      </c>
      <c r="AR129" s="113">
        <f t="shared" ca="1" si="281"/>
        <v>0.49643628186951588</v>
      </c>
      <c r="AS129" s="112">
        <f t="shared" ca="1" si="282"/>
        <v>0.41551283604613537</v>
      </c>
      <c r="AT129" s="159"/>
      <c r="AU129" s="107" t="e">
        <f t="shared" ca="1" si="283"/>
        <v>#N/A</v>
      </c>
      <c r="AV129" s="107" t="e">
        <f t="shared" ca="1" si="284"/>
        <v>#N/A</v>
      </c>
      <c r="AW129" s="107" t="e">
        <f t="shared" ca="1" si="285"/>
        <v>#N/A</v>
      </c>
      <c r="AX129" s="107" t="e">
        <f t="shared" ca="1" si="286"/>
        <v>#N/A</v>
      </c>
      <c r="AY129" s="107" t="e">
        <f t="shared" ca="1" si="287"/>
        <v>#N/A</v>
      </c>
      <c r="AZ129" s="107" t="e">
        <f t="shared" ca="1" si="288"/>
        <v>#N/A</v>
      </c>
      <c r="BA129" s="107" t="e">
        <f t="shared" ca="1" si="289"/>
        <v>#N/A</v>
      </c>
      <c r="BB129" s="107" t="e">
        <f t="shared" ca="1" si="290"/>
        <v>#N/A</v>
      </c>
      <c r="BC129" s="107" t="e">
        <f t="shared" ca="1" si="291"/>
        <v>#N/A</v>
      </c>
      <c r="BE129" s="112" t="e">
        <f t="shared" ca="1" si="292"/>
        <v>#N/A</v>
      </c>
      <c r="BF129" s="112" t="e">
        <f t="shared" ca="1" si="293"/>
        <v>#N/A</v>
      </c>
      <c r="BG129" s="112" t="e">
        <f t="shared" ca="1" si="294"/>
        <v>#N/A</v>
      </c>
      <c r="BH129" s="111"/>
      <c r="BI129" s="112">
        <f t="shared" si="295"/>
        <v>75.849999999999994</v>
      </c>
      <c r="BJ129" s="112">
        <f t="shared" si="296"/>
        <v>16.52</v>
      </c>
      <c r="BK129" s="112">
        <f t="shared" si="297"/>
        <v>-0.77</v>
      </c>
      <c r="BL129" s="107"/>
      <c r="BM129" s="113">
        <f t="shared" si="298"/>
        <v>0.82485034482758612</v>
      </c>
      <c r="BN129" s="112">
        <f t="shared" si="299"/>
        <v>0.79566034482758619</v>
      </c>
      <c r="BO129" s="112">
        <f t="shared" si="300"/>
        <v>0.79181034482758617</v>
      </c>
      <c r="BP129" s="113">
        <f t="shared" si="302"/>
        <v>0.56121010327323551</v>
      </c>
      <c r="BQ129" s="113">
        <f t="shared" si="301"/>
        <v>0.49643628186951588</v>
      </c>
      <c r="BR129" s="113">
        <f t="shared" si="303"/>
        <v>0.50371297859878217</v>
      </c>
      <c r="BS129" s="125">
        <f t="shared" si="304"/>
        <v>0.54111878157605364</v>
      </c>
      <c r="BT129" s="113">
        <f t="shared" si="305"/>
        <v>0.49643628186951588</v>
      </c>
      <c r="BU129" s="112">
        <f t="shared" si="306"/>
        <v>0.41551283604613537</v>
      </c>
      <c r="BV129" s="255"/>
      <c r="BW129" s="107" t="s">
        <v>256</v>
      </c>
      <c r="BY129" s="107" t="s">
        <v>259</v>
      </c>
      <c r="BZ129" s="112"/>
      <c r="CA129" s="112"/>
      <c r="CB129" s="112"/>
      <c r="CC129" s="112"/>
      <c r="DG129" s="107"/>
      <c r="DH129" s="107"/>
      <c r="DI129" s="107"/>
      <c r="DJ129" s="107"/>
    </row>
    <row r="130" spans="2:114">
      <c r="B130" s="7"/>
      <c r="C130" s="7"/>
      <c r="D130" s="7"/>
      <c r="E130" s="7"/>
      <c r="F130" s="7"/>
      <c r="G130" s="7"/>
      <c r="H130" s="7"/>
      <c r="I130" s="7"/>
      <c r="J130" s="7"/>
      <c r="K130" s="7"/>
      <c r="L130" s="7"/>
      <c r="Q130" s="7"/>
      <c r="R130" s="64"/>
      <c r="S130" s="64"/>
      <c r="T130" s="64"/>
      <c r="U130" s="64"/>
      <c r="V130" s="64"/>
      <c r="W130" s="64"/>
      <c r="X130" s="64"/>
      <c r="Y130" s="64"/>
      <c r="Z130" s="64"/>
      <c r="AA130" s="64"/>
      <c r="AB130" s="64"/>
      <c r="AC130" s="64"/>
      <c r="AD130" s="64"/>
      <c r="AG130" s="127">
        <f t="shared" ca="1" si="307"/>
        <v>64.81</v>
      </c>
      <c r="AH130" s="127">
        <f t="shared" ca="1" si="307"/>
        <v>29.62</v>
      </c>
      <c r="AI130" s="127">
        <f t="shared" ca="1" si="307"/>
        <v>24</v>
      </c>
      <c r="AJ130" s="109">
        <v>26</v>
      </c>
      <c r="AK130" s="113">
        <f t="shared" ca="1" si="274"/>
        <v>0.75587793103448275</v>
      </c>
      <c r="AL130" s="112">
        <f t="shared" ca="1" si="275"/>
        <v>0.5766379310344828</v>
      </c>
      <c r="AM130" s="112">
        <f t="shared" ca="1" si="276"/>
        <v>0.69663793103448279</v>
      </c>
      <c r="AN130" s="113">
        <f t="shared" ca="1" si="277"/>
        <v>0.43187194936844125</v>
      </c>
      <c r="AO130" s="113">
        <f t="shared" ca="1" si="278"/>
        <v>0.33808145798374784</v>
      </c>
      <c r="AP130" s="113">
        <f t="shared" ca="1" si="279"/>
        <v>0.19173863010027578</v>
      </c>
      <c r="AQ130" s="125">
        <f t="shared" ca="1" si="280"/>
        <v>0.41641093358105102</v>
      </c>
      <c r="AR130" s="113">
        <f t="shared" ca="1" si="281"/>
        <v>0.33808145798374784</v>
      </c>
      <c r="AS130" s="112">
        <f t="shared" ca="1" si="282"/>
        <v>0.15816519596971748</v>
      </c>
      <c r="AT130" s="159"/>
      <c r="AU130" s="107" t="e">
        <f t="shared" ca="1" si="283"/>
        <v>#N/A</v>
      </c>
      <c r="AV130" s="107" t="e">
        <f t="shared" ca="1" si="284"/>
        <v>#N/A</v>
      </c>
      <c r="AW130" s="107" t="e">
        <f t="shared" ca="1" si="285"/>
        <v>#N/A</v>
      </c>
      <c r="AX130" s="107" t="e">
        <f t="shared" ca="1" si="286"/>
        <v>#N/A</v>
      </c>
      <c r="AY130" s="107" t="e">
        <f t="shared" ca="1" si="287"/>
        <v>#N/A</v>
      </c>
      <c r="AZ130" s="107" t="e">
        <f t="shared" ca="1" si="288"/>
        <v>#N/A</v>
      </c>
      <c r="BA130" s="107" t="e">
        <f t="shared" ca="1" si="289"/>
        <v>#N/A</v>
      </c>
      <c r="BB130" s="107" t="e">
        <f t="shared" ca="1" si="290"/>
        <v>#N/A</v>
      </c>
      <c r="BC130" s="107" t="e">
        <f t="shared" ca="1" si="291"/>
        <v>#N/A</v>
      </c>
      <c r="BE130" s="112" t="e">
        <f t="shared" ca="1" si="292"/>
        <v>#N/A</v>
      </c>
      <c r="BF130" s="112" t="e">
        <f t="shared" ca="1" si="293"/>
        <v>#N/A</v>
      </c>
      <c r="BG130" s="112" t="e">
        <f t="shared" ca="1" si="294"/>
        <v>#N/A</v>
      </c>
      <c r="BH130" s="111"/>
      <c r="BI130" s="112">
        <f t="shared" si="295"/>
        <v>64.81</v>
      </c>
      <c r="BJ130" s="112">
        <f t="shared" si="296"/>
        <v>29.62</v>
      </c>
      <c r="BK130" s="112">
        <f t="shared" si="297"/>
        <v>24</v>
      </c>
      <c r="BL130" s="107"/>
      <c r="BM130" s="113">
        <f t="shared" si="298"/>
        <v>0.75587793103448275</v>
      </c>
      <c r="BN130" s="112">
        <f t="shared" si="299"/>
        <v>0.5766379310344828</v>
      </c>
      <c r="BO130" s="112">
        <f t="shared" si="300"/>
        <v>0.69663793103448279</v>
      </c>
      <c r="BP130" s="113">
        <f t="shared" si="302"/>
        <v>0.43187194936844125</v>
      </c>
      <c r="BQ130" s="113">
        <f t="shared" si="301"/>
        <v>0.33808145798374784</v>
      </c>
      <c r="BR130" s="113">
        <f t="shared" si="303"/>
        <v>0.19173863010027578</v>
      </c>
      <c r="BS130" s="125">
        <f t="shared" si="304"/>
        <v>0.41641093358105102</v>
      </c>
      <c r="BT130" s="113">
        <f t="shared" si="305"/>
        <v>0.33808145798374784</v>
      </c>
      <c r="BU130" s="112">
        <f t="shared" si="306"/>
        <v>0.15816519596971748</v>
      </c>
      <c r="BV130" s="255"/>
      <c r="BW130" s="107" t="s">
        <v>257</v>
      </c>
      <c r="BY130" s="107" t="s">
        <v>258</v>
      </c>
      <c r="BZ130" s="112"/>
      <c r="CA130" s="112"/>
      <c r="CB130" s="112"/>
      <c r="CC130" s="112"/>
      <c r="DG130" s="107"/>
      <c r="DH130" s="107"/>
      <c r="DI130" s="107"/>
      <c r="DJ130" s="107"/>
    </row>
    <row r="131" spans="2:114">
      <c r="B131" s="7"/>
      <c r="C131" s="7"/>
      <c r="D131" s="7"/>
      <c r="E131" s="7"/>
      <c r="F131" s="7"/>
      <c r="G131" s="7"/>
      <c r="H131" s="7"/>
      <c r="I131" s="7"/>
      <c r="J131" s="7"/>
      <c r="K131" s="7"/>
      <c r="L131" s="7"/>
      <c r="Q131" s="7"/>
      <c r="R131" s="64"/>
      <c r="S131" s="64"/>
      <c r="T131" s="64"/>
      <c r="U131" s="64"/>
      <c r="V131" s="64"/>
      <c r="W131" s="64"/>
      <c r="X131" s="64"/>
      <c r="Y131" s="64"/>
      <c r="Z131" s="64"/>
      <c r="AA131" s="64"/>
      <c r="AB131" s="64"/>
      <c r="AC131" s="64"/>
      <c r="AD131" s="64"/>
      <c r="AG131" s="127">
        <f t="shared" ca="1" si="307"/>
        <v>41.44</v>
      </c>
      <c r="AH131" s="127">
        <f t="shared" ca="1" si="307"/>
        <v>-25.89</v>
      </c>
      <c r="AI131" s="127">
        <f t="shared" ca="1" si="307"/>
        <v>4.0599999999999996</v>
      </c>
      <c r="AJ131" s="109">
        <v>27</v>
      </c>
      <c r="AK131" s="113">
        <f t="shared" ca="1" si="274"/>
        <v>0.44339241379310346</v>
      </c>
      <c r="AL131" s="112">
        <f t="shared" ca="1" si="275"/>
        <v>0.47487241379310347</v>
      </c>
      <c r="AM131" s="112">
        <f t="shared" ca="1" si="276"/>
        <v>0.49517241379310345</v>
      </c>
      <c r="AN131" s="113">
        <f t="shared" ca="1" si="277"/>
        <v>8.7169544154705014E-2</v>
      </c>
      <c r="AO131" s="113">
        <f t="shared" ca="1" si="278"/>
        <v>0.12141415621796711</v>
      </c>
      <c r="AP131" s="113">
        <f t="shared" ca="1" si="279"/>
        <v>0.1070855382806223</v>
      </c>
      <c r="AQ131" s="125">
        <f t="shared" ca="1" si="280"/>
        <v>8.404887447396657E-2</v>
      </c>
      <c r="AR131" s="113">
        <f t="shared" ca="1" si="281"/>
        <v>0.12141415621796711</v>
      </c>
      <c r="AS131" s="112">
        <f t="shared" ca="1" si="282"/>
        <v>8.8334860527685327E-2</v>
      </c>
      <c r="AT131" s="159"/>
      <c r="AU131" s="107" t="e">
        <f t="shared" ca="1" si="283"/>
        <v>#N/A</v>
      </c>
      <c r="AV131" s="107" t="e">
        <f t="shared" ca="1" si="284"/>
        <v>#N/A</v>
      </c>
      <c r="AW131" s="107" t="e">
        <f t="shared" ca="1" si="285"/>
        <v>#N/A</v>
      </c>
      <c r="AX131" s="107" t="e">
        <f t="shared" ca="1" si="286"/>
        <v>#N/A</v>
      </c>
      <c r="AY131" s="107" t="e">
        <f t="shared" ca="1" si="287"/>
        <v>#N/A</v>
      </c>
      <c r="AZ131" s="107" t="e">
        <f t="shared" ca="1" si="288"/>
        <v>#N/A</v>
      </c>
      <c r="BA131" s="107" t="e">
        <f t="shared" ca="1" si="289"/>
        <v>#N/A</v>
      </c>
      <c r="BB131" s="107" t="e">
        <f t="shared" ca="1" si="290"/>
        <v>#N/A</v>
      </c>
      <c r="BC131" s="107" t="e">
        <f t="shared" ca="1" si="291"/>
        <v>#N/A</v>
      </c>
      <c r="BE131" s="112" t="e">
        <f t="shared" ca="1" si="292"/>
        <v>#N/A</v>
      </c>
      <c r="BF131" s="112" t="e">
        <f t="shared" ca="1" si="293"/>
        <v>#N/A</v>
      </c>
      <c r="BG131" s="112" t="e">
        <f t="shared" ca="1" si="294"/>
        <v>#N/A</v>
      </c>
      <c r="BH131" s="111"/>
      <c r="BI131" s="112">
        <f t="shared" si="295"/>
        <v>41.44</v>
      </c>
      <c r="BJ131" s="112">
        <f t="shared" si="296"/>
        <v>-25.89</v>
      </c>
      <c r="BK131" s="112">
        <f t="shared" si="297"/>
        <v>4.0599999999999996</v>
      </c>
      <c r="BL131" s="107"/>
      <c r="BM131" s="113">
        <f t="shared" si="298"/>
        <v>0.44339241379310346</v>
      </c>
      <c r="BN131" s="112">
        <f t="shared" si="299"/>
        <v>0.47487241379310347</v>
      </c>
      <c r="BO131" s="112">
        <f t="shared" si="300"/>
        <v>0.49517241379310345</v>
      </c>
      <c r="BP131" s="113">
        <f t="shared" si="302"/>
        <v>8.7169544154705014E-2</v>
      </c>
      <c r="BQ131" s="113">
        <f t="shared" si="301"/>
        <v>0.12141415621796711</v>
      </c>
      <c r="BR131" s="113">
        <f t="shared" si="303"/>
        <v>0.1070855382806223</v>
      </c>
      <c r="BS131" s="125">
        <f t="shared" si="304"/>
        <v>8.404887447396657E-2</v>
      </c>
      <c r="BT131" s="113">
        <f t="shared" si="305"/>
        <v>0.12141415621796711</v>
      </c>
      <c r="BU131" s="112">
        <f t="shared" si="306"/>
        <v>8.8334860527685327E-2</v>
      </c>
      <c r="BV131" s="255"/>
      <c r="BZ131" s="112"/>
      <c r="CA131" s="109"/>
      <c r="CB131" s="112"/>
      <c r="CC131" s="112"/>
      <c r="DG131" s="107"/>
      <c r="DH131" s="107"/>
      <c r="DI131" s="107"/>
      <c r="DJ131" s="107"/>
    </row>
    <row r="132" spans="2:114">
      <c r="B132" s="7"/>
      <c r="C132" s="7"/>
      <c r="D132" s="7"/>
      <c r="E132" s="7"/>
      <c r="F132" s="7"/>
      <c r="G132" s="7"/>
      <c r="H132" s="7"/>
      <c r="I132" s="7"/>
      <c r="J132" s="7"/>
      <c r="K132" s="7"/>
      <c r="L132" s="7"/>
      <c r="Q132" s="7"/>
      <c r="R132" s="64"/>
      <c r="S132" s="64"/>
      <c r="T132" s="64"/>
      <c r="U132" s="64"/>
      <c r="V132" s="64"/>
      <c r="W132" s="64"/>
      <c r="X132" s="64"/>
      <c r="Y132" s="64"/>
      <c r="Z132" s="64"/>
      <c r="AA132" s="64"/>
      <c r="AB132" s="64"/>
      <c r="AC132" s="64"/>
      <c r="AD132" s="64"/>
      <c r="AG132" s="127">
        <f t="shared" ca="1" si="307"/>
        <v>82.23</v>
      </c>
      <c r="AH132" s="127">
        <f t="shared" ca="1" si="307"/>
        <v>6.97</v>
      </c>
      <c r="AI132" s="127">
        <f t="shared" ca="1" si="307"/>
        <v>1.35</v>
      </c>
      <c r="AJ132" s="109">
        <v>28</v>
      </c>
      <c r="AK132" s="113">
        <f t="shared" ca="1" si="274"/>
        <v>0.86075034482758617</v>
      </c>
      <c r="AL132" s="112">
        <f t="shared" ca="1" si="275"/>
        <v>0.84006034482758618</v>
      </c>
      <c r="AM132" s="112">
        <f t="shared" ca="1" si="276"/>
        <v>0.84681034482758621</v>
      </c>
      <c r="AN132" s="113">
        <f t="shared" ca="1" si="277"/>
        <v>0.63772231811069491</v>
      </c>
      <c r="AO132" s="113">
        <f t="shared" ca="1" si="278"/>
        <v>0.60723733340786323</v>
      </c>
      <c r="AP132" s="113">
        <f t="shared" ca="1" si="279"/>
        <v>0.59283174710782971</v>
      </c>
      <c r="AQ132" s="125">
        <f t="shared" ca="1" si="280"/>
        <v>0.61489185912233202</v>
      </c>
      <c r="AR132" s="113">
        <f t="shared" ca="1" si="281"/>
        <v>0.60723733340786323</v>
      </c>
      <c r="AS132" s="112">
        <f t="shared" ca="1" si="282"/>
        <v>0.48902690818924871</v>
      </c>
      <c r="AT132" s="159"/>
      <c r="AU132" s="107" t="e">
        <f t="shared" ca="1" si="283"/>
        <v>#N/A</v>
      </c>
      <c r="AV132" s="107" t="e">
        <f t="shared" ca="1" si="284"/>
        <v>#N/A</v>
      </c>
      <c r="AW132" s="107" t="e">
        <f t="shared" ca="1" si="285"/>
        <v>#N/A</v>
      </c>
      <c r="AX132" s="107" t="e">
        <f t="shared" ca="1" si="286"/>
        <v>#N/A</v>
      </c>
      <c r="AY132" s="107" t="e">
        <f t="shared" ca="1" si="287"/>
        <v>#N/A</v>
      </c>
      <c r="AZ132" s="107" t="e">
        <f t="shared" ca="1" si="288"/>
        <v>#N/A</v>
      </c>
      <c r="BA132" s="107" t="e">
        <f t="shared" ca="1" si="289"/>
        <v>#N/A</v>
      </c>
      <c r="BB132" s="107" t="e">
        <f t="shared" ca="1" si="290"/>
        <v>#N/A</v>
      </c>
      <c r="BC132" s="107" t="e">
        <f t="shared" ca="1" si="291"/>
        <v>#N/A</v>
      </c>
      <c r="BE132" s="112" t="e">
        <f t="shared" ca="1" si="292"/>
        <v>#N/A</v>
      </c>
      <c r="BF132" s="112" t="e">
        <f t="shared" ca="1" si="293"/>
        <v>#N/A</v>
      </c>
      <c r="BG132" s="112" t="e">
        <f t="shared" ca="1" si="294"/>
        <v>#N/A</v>
      </c>
      <c r="BH132" s="111"/>
      <c r="BI132" s="112">
        <f t="shared" si="295"/>
        <v>82.23</v>
      </c>
      <c r="BJ132" s="112">
        <f t="shared" si="296"/>
        <v>6.97</v>
      </c>
      <c r="BK132" s="112">
        <f t="shared" si="297"/>
        <v>1.35</v>
      </c>
      <c r="BL132" s="107"/>
      <c r="BM132" s="113">
        <f t="shared" si="298"/>
        <v>0.86075034482758617</v>
      </c>
      <c r="BN132" s="112">
        <f t="shared" si="299"/>
        <v>0.84006034482758618</v>
      </c>
      <c r="BO132" s="112">
        <f t="shared" si="300"/>
        <v>0.84681034482758621</v>
      </c>
      <c r="BP132" s="113">
        <f t="shared" si="302"/>
        <v>0.63772231811069491</v>
      </c>
      <c r="BQ132" s="113">
        <f t="shared" si="301"/>
        <v>0.60723733340786323</v>
      </c>
      <c r="BR132" s="113">
        <f t="shared" si="303"/>
        <v>0.59283174710782971</v>
      </c>
      <c r="BS132" s="125">
        <f t="shared" si="304"/>
        <v>0.61489185912233202</v>
      </c>
      <c r="BT132" s="113">
        <f t="shared" si="305"/>
        <v>0.60723733340786323</v>
      </c>
      <c r="BU132" s="112">
        <f t="shared" si="306"/>
        <v>0.48902690818924871</v>
      </c>
      <c r="BV132" s="255"/>
      <c r="BZ132" s="112"/>
      <c r="CA132" s="109"/>
      <c r="CB132" s="112"/>
      <c r="CC132" s="112"/>
      <c r="DG132" s="107"/>
      <c r="DH132" s="107"/>
      <c r="DI132" s="107"/>
      <c r="DJ132" s="107"/>
    </row>
    <row r="133" spans="2:114">
      <c r="B133" s="7"/>
      <c r="C133" s="7"/>
      <c r="D133" s="7"/>
      <c r="E133" s="7"/>
      <c r="F133" s="7"/>
      <c r="G133" s="7"/>
      <c r="H133" s="7"/>
      <c r="I133" s="7"/>
      <c r="J133" s="7"/>
      <c r="K133" s="7"/>
      <c r="L133" s="7"/>
      <c r="Q133" s="7"/>
      <c r="R133" s="64"/>
      <c r="S133" s="64"/>
      <c r="T133" s="64"/>
      <c r="U133" s="64"/>
      <c r="V133" s="64"/>
      <c r="W133" s="64"/>
      <c r="X133" s="64"/>
      <c r="Y133" s="64"/>
      <c r="Z133" s="64"/>
      <c r="AA133" s="64"/>
      <c r="AB133" s="64"/>
      <c r="AC133" s="64"/>
      <c r="AD133" s="64"/>
      <c r="AG133" s="127">
        <f t="shared" ca="1" si="307"/>
        <v>74.599999999999994</v>
      </c>
      <c r="AH133" s="127">
        <f t="shared" ca="1" si="307"/>
        <v>15.03</v>
      </c>
      <c r="AI133" s="127">
        <f t="shared" ca="1" si="307"/>
        <v>15.81</v>
      </c>
      <c r="AJ133" s="109">
        <v>29</v>
      </c>
      <c r="AK133" s="113">
        <f t="shared" ca="1" si="274"/>
        <v>0.81109448275862062</v>
      </c>
      <c r="AL133" s="112">
        <f t="shared" ca="1" si="275"/>
        <v>0.70198448275862058</v>
      </c>
      <c r="AM133" s="112">
        <f t="shared" ca="1" si="276"/>
        <v>0.78103448275862064</v>
      </c>
      <c r="AN133" s="113">
        <f t="shared" ca="1" si="277"/>
        <v>0.53359818260366232</v>
      </c>
      <c r="AO133" s="113">
        <f t="shared" ca="1" si="278"/>
        <v>0.47644264319980312</v>
      </c>
      <c r="AP133" s="113">
        <f t="shared" ca="1" si="279"/>
        <v>0.34592546763122678</v>
      </c>
      <c r="AQ133" s="125">
        <f t="shared" ca="1" si="280"/>
        <v>0.51449536766645121</v>
      </c>
      <c r="AR133" s="113">
        <f t="shared" ca="1" si="281"/>
        <v>0.47644264319980312</v>
      </c>
      <c r="AS133" s="112">
        <f t="shared" ca="1" si="282"/>
        <v>0.28535391824899897</v>
      </c>
      <c r="AT133" s="159"/>
      <c r="AU133" s="107" t="e">
        <f t="shared" ca="1" si="283"/>
        <v>#N/A</v>
      </c>
      <c r="AV133" s="107" t="e">
        <f t="shared" ca="1" si="284"/>
        <v>#N/A</v>
      </c>
      <c r="AW133" s="107" t="e">
        <f t="shared" ca="1" si="285"/>
        <v>#N/A</v>
      </c>
      <c r="AX133" s="107" t="e">
        <f t="shared" ca="1" si="286"/>
        <v>#N/A</v>
      </c>
      <c r="AY133" s="107" t="e">
        <f t="shared" ca="1" si="287"/>
        <v>#N/A</v>
      </c>
      <c r="AZ133" s="107" t="e">
        <f t="shared" ca="1" si="288"/>
        <v>#N/A</v>
      </c>
      <c r="BA133" s="107" t="e">
        <f t="shared" ca="1" si="289"/>
        <v>#N/A</v>
      </c>
      <c r="BB133" s="107" t="e">
        <f t="shared" ca="1" si="290"/>
        <v>#N/A</v>
      </c>
      <c r="BC133" s="107" t="e">
        <f t="shared" ca="1" si="291"/>
        <v>#N/A</v>
      </c>
      <c r="BE133" s="112" t="e">
        <f t="shared" ca="1" si="292"/>
        <v>#N/A</v>
      </c>
      <c r="BF133" s="112" t="e">
        <f t="shared" ca="1" si="293"/>
        <v>#N/A</v>
      </c>
      <c r="BG133" s="112" t="e">
        <f t="shared" ca="1" si="294"/>
        <v>#N/A</v>
      </c>
      <c r="BH133" s="111"/>
      <c r="BI133" s="112">
        <f t="shared" si="295"/>
        <v>74.599999999999994</v>
      </c>
      <c r="BJ133" s="112">
        <f t="shared" si="296"/>
        <v>15.03</v>
      </c>
      <c r="BK133" s="112">
        <f t="shared" si="297"/>
        <v>15.81</v>
      </c>
      <c r="BL133" s="107"/>
      <c r="BM133" s="113">
        <f t="shared" si="298"/>
        <v>0.81109448275862062</v>
      </c>
      <c r="BN133" s="112">
        <f t="shared" si="299"/>
        <v>0.70198448275862058</v>
      </c>
      <c r="BO133" s="112">
        <f t="shared" si="300"/>
        <v>0.78103448275862064</v>
      </c>
      <c r="BP133" s="113">
        <f t="shared" si="302"/>
        <v>0.53359818260366232</v>
      </c>
      <c r="BQ133" s="113">
        <f t="shared" si="301"/>
        <v>0.47644264319980312</v>
      </c>
      <c r="BR133" s="113">
        <f t="shared" si="303"/>
        <v>0.34592546763122678</v>
      </c>
      <c r="BS133" s="125">
        <f t="shared" si="304"/>
        <v>0.51449536766645121</v>
      </c>
      <c r="BT133" s="113">
        <f t="shared" si="305"/>
        <v>0.47644264319980312</v>
      </c>
      <c r="BU133" s="112">
        <f t="shared" si="306"/>
        <v>0.28535391824899897</v>
      </c>
      <c r="BV133" s="255"/>
      <c r="BZ133" s="112"/>
      <c r="CA133" s="109"/>
      <c r="CB133" s="112"/>
      <c r="CC133" s="112"/>
      <c r="DG133" s="107"/>
      <c r="DH133" s="107"/>
      <c r="DI133" s="107"/>
      <c r="DJ133" s="107"/>
    </row>
    <row r="134" spans="2:114">
      <c r="B134" s="7"/>
      <c r="C134" s="7"/>
      <c r="D134" s="7"/>
      <c r="E134" s="7"/>
      <c r="F134" s="7"/>
      <c r="G134" s="7"/>
      <c r="H134" s="7"/>
      <c r="I134" s="7"/>
      <c r="J134" s="7"/>
      <c r="K134" s="7"/>
      <c r="L134" s="7"/>
      <c r="Q134" s="7"/>
      <c r="R134" s="64"/>
      <c r="S134" s="64"/>
      <c r="T134" s="64"/>
      <c r="U134" s="64"/>
      <c r="V134" s="64"/>
      <c r="W134" s="64"/>
      <c r="X134" s="64"/>
      <c r="Y134" s="64"/>
      <c r="Z134" s="64"/>
      <c r="AA134" s="64"/>
      <c r="AB134" s="64"/>
      <c r="AC134" s="64"/>
      <c r="AD134" s="64"/>
      <c r="AG134" s="127">
        <f t="shared" ca="1" si="307"/>
        <v>40.770000000000003</v>
      </c>
      <c r="AH134" s="127">
        <f t="shared" ca="1" si="307"/>
        <v>0.3</v>
      </c>
      <c r="AI134" s="127">
        <f t="shared" ca="1" si="307"/>
        <v>-17.59</v>
      </c>
      <c r="AJ134" s="109">
        <v>30</v>
      </c>
      <c r="AK134" s="113">
        <f t="shared" ca="1" si="274"/>
        <v>0.48999655172413797</v>
      </c>
      <c r="AL134" s="112">
        <f t="shared" ca="1" si="275"/>
        <v>0.57734655172413796</v>
      </c>
      <c r="AM134" s="112">
        <f t="shared" ca="1" si="276"/>
        <v>0.48939655172413798</v>
      </c>
      <c r="AN134" s="113">
        <f t="shared" ca="1" si="277"/>
        <v>0.11764651622437573</v>
      </c>
      <c r="AO134" s="113">
        <f t="shared" ca="1" si="278"/>
        <v>0.11721487128738882</v>
      </c>
      <c r="AP134" s="113">
        <f t="shared" ca="1" si="279"/>
        <v>0.19244637228832356</v>
      </c>
      <c r="AQ134" s="125">
        <f t="shared" ca="1" si="280"/>
        <v>0.11343477094354308</v>
      </c>
      <c r="AR134" s="113">
        <f t="shared" ca="1" si="281"/>
        <v>0.11721487128738882</v>
      </c>
      <c r="AS134" s="112">
        <f t="shared" ca="1" si="282"/>
        <v>0.15874901250063811</v>
      </c>
      <c r="AT134" s="159"/>
      <c r="AU134" s="107" t="e">
        <f t="shared" ca="1" si="283"/>
        <v>#N/A</v>
      </c>
      <c r="AV134" s="107" t="e">
        <f t="shared" ca="1" si="284"/>
        <v>#N/A</v>
      </c>
      <c r="AW134" s="107" t="e">
        <f t="shared" ca="1" si="285"/>
        <v>#N/A</v>
      </c>
      <c r="AX134" s="107" t="e">
        <f t="shared" ca="1" si="286"/>
        <v>#N/A</v>
      </c>
      <c r="AY134" s="107" t="e">
        <f t="shared" ca="1" si="287"/>
        <v>#N/A</v>
      </c>
      <c r="AZ134" s="107" t="e">
        <f t="shared" ca="1" si="288"/>
        <v>#N/A</v>
      </c>
      <c r="BA134" s="107" t="e">
        <f t="shared" ca="1" si="289"/>
        <v>#N/A</v>
      </c>
      <c r="BB134" s="107" t="e">
        <f t="shared" ca="1" si="290"/>
        <v>#N/A</v>
      </c>
      <c r="BC134" s="107" t="e">
        <f t="shared" ca="1" si="291"/>
        <v>#N/A</v>
      </c>
      <c r="BE134" s="112" t="e">
        <f t="shared" ca="1" si="292"/>
        <v>#N/A</v>
      </c>
      <c r="BF134" s="112" t="e">
        <f t="shared" ca="1" si="293"/>
        <v>#N/A</v>
      </c>
      <c r="BG134" s="112" t="e">
        <f t="shared" ca="1" si="294"/>
        <v>#N/A</v>
      </c>
      <c r="BH134" s="111"/>
      <c r="BI134" s="112">
        <f t="shared" si="295"/>
        <v>40.770000000000003</v>
      </c>
      <c r="BJ134" s="112">
        <f t="shared" si="296"/>
        <v>0.3</v>
      </c>
      <c r="BK134" s="112">
        <f t="shared" si="297"/>
        <v>-17.59</v>
      </c>
      <c r="BL134" s="107"/>
      <c r="BM134" s="113">
        <f t="shared" si="298"/>
        <v>0.48999655172413797</v>
      </c>
      <c r="BN134" s="112">
        <f t="shared" si="299"/>
        <v>0.57734655172413796</v>
      </c>
      <c r="BO134" s="112">
        <f t="shared" si="300"/>
        <v>0.48939655172413798</v>
      </c>
      <c r="BP134" s="113">
        <f t="shared" si="302"/>
        <v>0.11764651622437573</v>
      </c>
      <c r="BQ134" s="113">
        <f t="shared" si="301"/>
        <v>0.11721487128738882</v>
      </c>
      <c r="BR134" s="113">
        <f t="shared" si="303"/>
        <v>0.19244637228832356</v>
      </c>
      <c r="BS134" s="125">
        <f t="shared" si="304"/>
        <v>0.11343477094354308</v>
      </c>
      <c r="BT134" s="113">
        <f t="shared" si="305"/>
        <v>0.11721487128738882</v>
      </c>
      <c r="BU134" s="112">
        <f t="shared" si="306"/>
        <v>0.15874901250063811</v>
      </c>
      <c r="BV134" s="255"/>
      <c r="BZ134" s="112"/>
      <c r="CA134" s="109"/>
      <c r="CB134" s="112"/>
      <c r="CC134" s="112"/>
      <c r="DG134" s="107"/>
      <c r="DH134" s="107"/>
      <c r="DI134" s="107"/>
      <c r="DJ134" s="107"/>
    </row>
    <row r="135" spans="2:114">
      <c r="B135" s="7"/>
      <c r="C135" s="7"/>
      <c r="D135" s="7"/>
      <c r="E135" s="7"/>
      <c r="F135" s="7"/>
      <c r="G135" s="7"/>
      <c r="H135" s="7"/>
      <c r="I135" s="7"/>
      <c r="J135" s="7"/>
      <c r="K135" s="7"/>
      <c r="L135" s="7"/>
      <c r="Q135" s="7"/>
      <c r="R135" s="64"/>
      <c r="S135" s="64"/>
      <c r="T135" s="64"/>
      <c r="U135" s="64"/>
      <c r="V135" s="64"/>
      <c r="W135" s="64"/>
      <c r="X135" s="64"/>
      <c r="Y135" s="64"/>
      <c r="Z135" s="64"/>
      <c r="AA135" s="64"/>
      <c r="AB135" s="64"/>
      <c r="AC135" s="64"/>
      <c r="AD135" s="64"/>
      <c r="AG135" s="127">
        <f t="shared" ca="1" si="307"/>
        <v>82</v>
      </c>
      <c r="AH135" s="127">
        <f t="shared" ca="1" si="307"/>
        <v>-2</v>
      </c>
      <c r="AI135" s="127">
        <f t="shared" ca="1" si="307"/>
        <v>72</v>
      </c>
      <c r="AJ135" s="109">
        <v>31</v>
      </c>
      <c r="AK135" s="113">
        <f t="shared" ca="1" si="274"/>
        <v>0.84082758620689657</v>
      </c>
      <c r="AL135" s="112">
        <f t="shared" ca="1" si="275"/>
        <v>0.48482758620689659</v>
      </c>
      <c r="AM135" s="112">
        <f t="shared" ca="1" si="276"/>
        <v>0.84482758620689657</v>
      </c>
      <c r="AN135" s="113">
        <f t="shared" ca="1" si="277"/>
        <v>0.59445756099487479</v>
      </c>
      <c r="AO135" s="113">
        <f t="shared" ca="1" si="278"/>
        <v>0.60298187707573092</v>
      </c>
      <c r="AP135" s="113">
        <f t="shared" ca="1" si="279"/>
        <v>0.11396250014350735</v>
      </c>
      <c r="AQ135" s="125">
        <f t="shared" ca="1" si="280"/>
        <v>0.57317598031125827</v>
      </c>
      <c r="AR135" s="113">
        <f t="shared" ca="1" si="281"/>
        <v>0.60298187707573092</v>
      </c>
      <c r="AS135" s="112">
        <f t="shared" ca="1" si="282"/>
        <v>9.4007666368379206E-2</v>
      </c>
      <c r="AT135" s="159"/>
      <c r="AU135" s="107" t="e">
        <f t="shared" ca="1" si="283"/>
        <v>#N/A</v>
      </c>
      <c r="AV135" s="107" t="e">
        <f t="shared" ca="1" si="284"/>
        <v>#N/A</v>
      </c>
      <c r="AW135" s="107" t="e">
        <f t="shared" ca="1" si="285"/>
        <v>#N/A</v>
      </c>
      <c r="AX135" s="107" t="e">
        <f t="shared" ca="1" si="286"/>
        <v>#N/A</v>
      </c>
      <c r="AY135" s="107" t="e">
        <f t="shared" ca="1" si="287"/>
        <v>#N/A</v>
      </c>
      <c r="AZ135" s="107" t="e">
        <f t="shared" ca="1" si="288"/>
        <v>#N/A</v>
      </c>
      <c r="BA135" s="107" t="e">
        <f t="shared" ca="1" si="289"/>
        <v>#N/A</v>
      </c>
      <c r="BB135" s="107" t="e">
        <f t="shared" ca="1" si="290"/>
        <v>#N/A</v>
      </c>
      <c r="BC135" s="107" t="e">
        <f t="shared" ca="1" si="291"/>
        <v>#N/A</v>
      </c>
      <c r="BE135" s="112" t="e">
        <f t="shared" ca="1" si="292"/>
        <v>#N/A</v>
      </c>
      <c r="BF135" s="112" t="e">
        <f t="shared" ca="1" si="293"/>
        <v>#N/A</v>
      </c>
      <c r="BG135" s="112" t="e">
        <f t="shared" ca="1" si="294"/>
        <v>#N/A</v>
      </c>
      <c r="BH135" s="111"/>
      <c r="BI135" s="112">
        <f t="shared" si="295"/>
        <v>82</v>
      </c>
      <c r="BJ135" s="112">
        <f t="shared" si="296"/>
        <v>-2</v>
      </c>
      <c r="BK135" s="112">
        <f t="shared" si="297"/>
        <v>72</v>
      </c>
      <c r="BL135" s="107"/>
      <c r="BM135" s="113">
        <f t="shared" si="298"/>
        <v>0.84082758620689657</v>
      </c>
      <c r="BN135" s="112">
        <f t="shared" si="299"/>
        <v>0.48482758620689659</v>
      </c>
      <c r="BO135" s="112">
        <f t="shared" si="300"/>
        <v>0.84482758620689657</v>
      </c>
      <c r="BP135" s="113">
        <f t="shared" si="302"/>
        <v>0.59445756099487479</v>
      </c>
      <c r="BQ135" s="113">
        <f t="shared" si="301"/>
        <v>0.60298187707573092</v>
      </c>
      <c r="BR135" s="113">
        <f t="shared" si="303"/>
        <v>0.11396250014350735</v>
      </c>
      <c r="BS135" s="125">
        <f t="shared" si="304"/>
        <v>0.57317598031125827</v>
      </c>
      <c r="BT135" s="113">
        <f t="shared" si="305"/>
        <v>0.60298187707573092</v>
      </c>
      <c r="BU135" s="112">
        <f t="shared" si="306"/>
        <v>9.4007666368379206E-2</v>
      </c>
      <c r="BV135" s="255"/>
      <c r="BZ135" s="112"/>
      <c r="CA135" s="109"/>
      <c r="CB135" s="112"/>
      <c r="CC135" s="112"/>
      <c r="DG135" s="107"/>
      <c r="DH135" s="107"/>
      <c r="DI135" s="107"/>
      <c r="DJ135" s="107"/>
    </row>
    <row r="136" spans="2:114">
      <c r="B136" s="7"/>
      <c r="C136" s="7"/>
      <c r="D136" s="7"/>
      <c r="E136" s="7"/>
      <c r="F136" s="7"/>
      <c r="G136" s="7"/>
      <c r="H136" s="7"/>
      <c r="I136" s="7"/>
      <c r="J136" s="7"/>
      <c r="K136" s="7"/>
      <c r="L136" s="7"/>
      <c r="Q136" s="7"/>
      <c r="R136" s="64"/>
      <c r="S136" s="64"/>
      <c r="T136" s="64"/>
      <c r="U136" s="64"/>
      <c r="V136" s="64"/>
      <c r="W136" s="64"/>
      <c r="X136" s="64"/>
      <c r="Y136" s="64"/>
      <c r="Z136" s="64"/>
      <c r="AA136" s="64"/>
      <c r="AB136" s="64"/>
      <c r="AC136" s="64"/>
      <c r="AD136" s="64"/>
      <c r="AG136" s="127">
        <f t="shared" ca="1" si="307"/>
        <v>29.23</v>
      </c>
      <c r="AH136" s="127">
        <f t="shared" ca="1" si="307"/>
        <v>-12.09</v>
      </c>
      <c r="AI136" s="127">
        <f t="shared" ca="1" si="307"/>
        <v>4.7300000000000004</v>
      </c>
      <c r="AJ136" s="109">
        <v>32</v>
      </c>
      <c r="AK136" s="113">
        <f t="shared" ca="1" si="274"/>
        <v>0.36573379310344833</v>
      </c>
      <c r="AL136" s="112">
        <f t="shared" ca="1" si="275"/>
        <v>0.36626379310344831</v>
      </c>
      <c r="AM136" s="112">
        <f t="shared" ca="1" si="276"/>
        <v>0.38991379310344831</v>
      </c>
      <c r="AN136" s="113">
        <f t="shared" ca="1" si="277"/>
        <v>4.8920993759022251E-2</v>
      </c>
      <c r="AO136" s="113">
        <f t="shared" ca="1" si="278"/>
        <v>5.9279672487468751E-2</v>
      </c>
      <c r="AP136" s="113">
        <f t="shared" ca="1" si="279"/>
        <v>4.913398243156105E-2</v>
      </c>
      <c r="AQ136" s="125">
        <f t="shared" ca="1" si="280"/>
        <v>4.7169622182449251E-2</v>
      </c>
      <c r="AR136" s="113">
        <f t="shared" ca="1" si="281"/>
        <v>5.9279672487468751E-2</v>
      </c>
      <c r="AS136" s="112">
        <f t="shared" ca="1" si="282"/>
        <v>4.0530622107794706E-2</v>
      </c>
      <c r="AT136" s="159"/>
      <c r="AU136" s="107" t="e">
        <f t="shared" ca="1" si="283"/>
        <v>#N/A</v>
      </c>
      <c r="AV136" s="107" t="e">
        <f t="shared" ca="1" si="284"/>
        <v>#N/A</v>
      </c>
      <c r="AW136" s="107" t="e">
        <f t="shared" ca="1" si="285"/>
        <v>#N/A</v>
      </c>
      <c r="AX136" s="107" t="e">
        <f t="shared" ca="1" si="286"/>
        <v>#N/A</v>
      </c>
      <c r="AY136" s="107" t="e">
        <f t="shared" ca="1" si="287"/>
        <v>#N/A</v>
      </c>
      <c r="AZ136" s="107" t="e">
        <f t="shared" ca="1" si="288"/>
        <v>#N/A</v>
      </c>
      <c r="BA136" s="107" t="e">
        <f t="shared" ca="1" si="289"/>
        <v>#N/A</v>
      </c>
      <c r="BB136" s="107" t="e">
        <f t="shared" ca="1" si="290"/>
        <v>#N/A</v>
      </c>
      <c r="BC136" s="107" t="e">
        <f t="shared" ca="1" si="291"/>
        <v>#N/A</v>
      </c>
      <c r="BE136" s="112" t="e">
        <f t="shared" ca="1" si="292"/>
        <v>#N/A</v>
      </c>
      <c r="BF136" s="112" t="e">
        <f t="shared" ca="1" si="293"/>
        <v>#N/A</v>
      </c>
      <c r="BG136" s="112" t="e">
        <f t="shared" ca="1" si="294"/>
        <v>#N/A</v>
      </c>
      <c r="BH136" s="111"/>
      <c r="BI136" s="112">
        <f t="shared" si="295"/>
        <v>29.23</v>
      </c>
      <c r="BJ136" s="112">
        <f t="shared" si="296"/>
        <v>-12.09</v>
      </c>
      <c r="BK136" s="112">
        <f t="shared" si="297"/>
        <v>4.7300000000000004</v>
      </c>
      <c r="BL136" s="107"/>
      <c r="BM136" s="113">
        <f t="shared" si="298"/>
        <v>0.36573379310344833</v>
      </c>
      <c r="BN136" s="112">
        <f t="shared" si="299"/>
        <v>0.36626379310344831</v>
      </c>
      <c r="BO136" s="112">
        <f t="shared" si="300"/>
        <v>0.38991379310344831</v>
      </c>
      <c r="BP136" s="113">
        <f t="shared" si="302"/>
        <v>4.8920993759022251E-2</v>
      </c>
      <c r="BQ136" s="113">
        <f t="shared" si="301"/>
        <v>5.9279672487468751E-2</v>
      </c>
      <c r="BR136" s="113">
        <f t="shared" si="303"/>
        <v>4.913398243156105E-2</v>
      </c>
      <c r="BS136" s="125">
        <f t="shared" si="304"/>
        <v>4.7169622182449251E-2</v>
      </c>
      <c r="BT136" s="113">
        <f t="shared" si="305"/>
        <v>5.9279672487468751E-2</v>
      </c>
      <c r="BU136" s="112">
        <f t="shared" si="306"/>
        <v>4.0530622107794706E-2</v>
      </c>
      <c r="BV136" s="255"/>
      <c r="BZ136" s="112"/>
      <c r="CA136" s="109"/>
      <c r="CB136" s="129"/>
      <c r="CC136" s="129"/>
      <c r="CD136" s="117"/>
      <c r="DG136" s="107"/>
      <c r="DH136" s="107"/>
      <c r="DI136" s="107"/>
      <c r="DJ136" s="107"/>
    </row>
    <row r="137" spans="2:114">
      <c r="B137" s="7"/>
      <c r="C137" s="7"/>
      <c r="D137" s="7"/>
      <c r="E137" s="7"/>
      <c r="F137" s="7"/>
      <c r="G137" s="7"/>
      <c r="H137" s="7"/>
      <c r="I137" s="7"/>
      <c r="J137" s="7"/>
      <c r="K137" s="7"/>
      <c r="L137" s="7"/>
      <c r="Q137" s="7"/>
      <c r="R137" s="64"/>
      <c r="S137" s="64"/>
      <c r="T137" s="64"/>
      <c r="U137" s="64"/>
      <c r="V137" s="64"/>
      <c r="W137" s="64"/>
      <c r="X137" s="64"/>
      <c r="Y137" s="64"/>
      <c r="Z137" s="64"/>
      <c r="AA137" s="64"/>
      <c r="AB137" s="64"/>
      <c r="AC137" s="64"/>
      <c r="AD137" s="64"/>
      <c r="AG137" s="127">
        <f t="shared" ca="1" si="307"/>
        <v>39.68</v>
      </c>
      <c r="AH137" s="127">
        <f t="shared" ca="1" si="307"/>
        <v>17</v>
      </c>
      <c r="AI137" s="127">
        <f t="shared" ca="1" si="307"/>
        <v>-11.84</v>
      </c>
      <c r="AJ137" s="109">
        <v>33</v>
      </c>
      <c r="AK137" s="113">
        <f t="shared" ref="AK137:AK157" ca="1" si="308">AH137/500+AM137</f>
        <v>0.51400000000000001</v>
      </c>
      <c r="AL137" s="112">
        <f t="shared" ref="AL137:AL158" ca="1" si="309">AM137-AI137/200</f>
        <v>0.53920000000000001</v>
      </c>
      <c r="AM137" s="112">
        <f t="shared" ref="AM137:AM158" ca="1" si="310">(AG137+16)/116</f>
        <v>0.48</v>
      </c>
      <c r="AN137" s="113">
        <f t="shared" ref="AN137:AN158" ca="1" si="311">IF(AK137^3&gt;(216/24389),AK137^3,(116*AK137-16)/(24389/27))</f>
        <v>0.135796744</v>
      </c>
      <c r="AO137" s="113">
        <f t="shared" ref="AO137:AO158" ca="1" si="312">IF(AG137&gt;(216/24389)*(24389/27),((AG137+16)/116)^3,AG137/(24389/27))</f>
        <v>0.110592</v>
      </c>
      <c r="AP137" s="113">
        <f t="shared" ref="AP137:AP158" ca="1" si="313">IF(AL137^3&gt;(216/24389),AL137^3,(116*AL137-16)/(24389/27))</f>
        <v>0.15676519628800001</v>
      </c>
      <c r="AQ137" s="125">
        <f t="shared" ref="AQ137:AQ158" ca="1" si="314">AN137*0.9642</f>
        <v>0.1309352205648</v>
      </c>
      <c r="AR137" s="113">
        <f t="shared" ref="AR137:AR158" ca="1" si="315">AO137</f>
        <v>0.110592</v>
      </c>
      <c r="AS137" s="112">
        <f t="shared" ref="AS137:AS158" ca="1" si="316">AP137*0.8249</f>
        <v>0.12931561041797121</v>
      </c>
      <c r="AT137" s="159"/>
      <c r="AU137" s="107" t="e">
        <f t="shared" ref="AU137:AU158" ca="1" si="317">AQ137*(1+$BZ$112)-$BZ$110*$BZ$112</f>
        <v>#N/A</v>
      </c>
      <c r="AV137" s="107" t="e">
        <f t="shared" ref="AV137:AV158" ca="1" si="318">AR137*(1+$CA$112)-$CA$110*$CA$112</f>
        <v>#N/A</v>
      </c>
      <c r="AW137" s="107" t="e">
        <f t="shared" ref="AW137:AW158" ca="1" si="319">AS137*(1+$CB$112)-$CB$110*$CB$112</f>
        <v>#N/A</v>
      </c>
      <c r="AX137" s="107" t="e">
        <f t="shared" ref="AX137:AX158" ca="1" si="320">IF(BA137&gt;(216/24389),BA137^(1/3),((24389/27)*BA137+16)/116)</f>
        <v>#N/A</v>
      </c>
      <c r="AY137" s="107" t="e">
        <f t="shared" ref="AY137:AY158" ca="1" si="321">IF(BB137&gt;(216/24389),BB137^(1/3),((24389/27)*BB137+16)/116)</f>
        <v>#N/A</v>
      </c>
      <c r="AZ137" s="107" t="e">
        <f t="shared" ref="AZ137:AZ158" ca="1" si="322">IF(BC137&gt;(216/24389),BC137^(1/3),((24389/27)*BC137+16)/116)</f>
        <v>#N/A</v>
      </c>
      <c r="BA137" s="107" t="e">
        <f t="shared" ref="BA137:BA158" ca="1" si="323">AU137/0.9642</f>
        <v>#N/A</v>
      </c>
      <c r="BB137" s="107" t="e">
        <f t="shared" ref="BB137:BB158" ca="1" si="324">AV137</f>
        <v>#N/A</v>
      </c>
      <c r="BC137" s="107" t="e">
        <f t="shared" ref="BC137:BC158" ca="1" si="325">AW137/0.8249</f>
        <v>#N/A</v>
      </c>
      <c r="BE137" s="112" t="e">
        <f t="shared" ref="BE137:BE158" ca="1" si="326">116*AY137-16</f>
        <v>#N/A</v>
      </c>
      <c r="BF137" s="112" t="e">
        <f t="shared" ref="BF137:BF158" ca="1" si="327">500*(AX137-AY137)</f>
        <v>#N/A</v>
      </c>
      <c r="BG137" s="112" t="e">
        <f t="shared" ref="BG137:BG158" ca="1" si="328">200*(AY137-AZ137)</f>
        <v>#N/A</v>
      </c>
      <c r="BH137" s="111"/>
      <c r="BI137" s="112">
        <f t="shared" ref="BI137:BI168" si="329">H68</f>
        <v>39.68</v>
      </c>
      <c r="BJ137" s="112">
        <f t="shared" ref="BJ137:BJ168" si="330">I68</f>
        <v>17</v>
      </c>
      <c r="BK137" s="112">
        <f t="shared" ref="BK137:BK168" si="331">J68</f>
        <v>-11.84</v>
      </c>
      <c r="BL137" s="107"/>
      <c r="BM137" s="113">
        <f t="shared" ref="BM137:BM158" si="332">BJ137/500+BO137</f>
        <v>0.51400000000000001</v>
      </c>
      <c r="BN137" s="112">
        <f t="shared" ref="BN137:BN158" si="333">BO137-BK137/200</f>
        <v>0.53920000000000001</v>
      </c>
      <c r="BO137" s="112">
        <f t="shared" ref="BO137:BO158" si="334">(BI137+16)/116</f>
        <v>0.48</v>
      </c>
      <c r="BP137" s="113">
        <f t="shared" si="302"/>
        <v>0.135796744</v>
      </c>
      <c r="BQ137" s="113">
        <f t="shared" ref="BQ137:BQ158" si="335">IF(BI137&gt;(216/24389)*(24389/27),((BI137+16)/116)^3,BI137/(24389/27))</f>
        <v>0.110592</v>
      </c>
      <c r="BR137" s="113">
        <f t="shared" si="303"/>
        <v>0.15676519628800001</v>
      </c>
      <c r="BS137" s="125">
        <f t="shared" si="304"/>
        <v>0.1309352205648</v>
      </c>
      <c r="BT137" s="113">
        <f t="shared" si="305"/>
        <v>0.110592</v>
      </c>
      <c r="BU137" s="112">
        <f t="shared" si="306"/>
        <v>0.12931561041797121</v>
      </c>
      <c r="BV137" s="255"/>
      <c r="BW137" s="117"/>
      <c r="BX137" s="117"/>
      <c r="BY137" s="117"/>
      <c r="BZ137" s="129"/>
      <c r="CA137" s="116"/>
      <c r="CB137" s="112"/>
      <c r="CC137" s="112"/>
      <c r="DG137" s="107"/>
      <c r="DH137" s="107"/>
      <c r="DI137" s="107"/>
      <c r="DJ137" s="107"/>
    </row>
    <row r="138" spans="2:114">
      <c r="B138" s="7"/>
      <c r="C138" s="7"/>
      <c r="D138" s="7"/>
      <c r="E138" s="7"/>
      <c r="F138" s="7"/>
      <c r="G138" s="7"/>
      <c r="H138" s="7"/>
      <c r="I138" s="7"/>
      <c r="J138" s="7"/>
      <c r="K138" s="7"/>
      <c r="L138" s="7"/>
      <c r="Q138" s="7"/>
      <c r="R138" s="64"/>
      <c r="S138" s="64"/>
      <c r="T138" s="64"/>
      <c r="U138" s="64"/>
      <c r="V138" s="64"/>
      <c r="W138" s="64"/>
      <c r="X138" s="64"/>
      <c r="Y138" s="64"/>
      <c r="Z138" s="64"/>
      <c r="AA138" s="64"/>
      <c r="AB138" s="64"/>
      <c r="AC138" s="64"/>
      <c r="AD138" s="64"/>
      <c r="AG138" s="127">
        <f t="shared" ca="1" si="307"/>
        <v>82.55</v>
      </c>
      <c r="AH138" s="127">
        <f t="shared" ca="1" si="307"/>
        <v>-2.7</v>
      </c>
      <c r="AI138" s="127">
        <f t="shared" ca="1" si="307"/>
        <v>58.3</v>
      </c>
      <c r="AJ138" s="109">
        <v>34</v>
      </c>
      <c r="AK138" s="113">
        <f t="shared" ca="1" si="308"/>
        <v>0.84416896551724141</v>
      </c>
      <c r="AL138" s="112">
        <f t="shared" ca="1" si="309"/>
        <v>0.55806896551724139</v>
      </c>
      <c r="AM138" s="112">
        <f t="shared" ca="1" si="310"/>
        <v>0.84956896551724137</v>
      </c>
      <c r="AN138" s="113">
        <f t="shared" ca="1" si="311"/>
        <v>0.60157273695383695</v>
      </c>
      <c r="AO138" s="113">
        <f t="shared" ca="1" si="312"/>
        <v>0.613191206444888</v>
      </c>
      <c r="AP138" s="113">
        <f t="shared" ca="1" si="313"/>
        <v>0.1738055401002091</v>
      </c>
      <c r="AQ138" s="125">
        <f t="shared" ca="1" si="314"/>
        <v>0.58003643297088958</v>
      </c>
      <c r="AR138" s="113">
        <f t="shared" ca="1" si="315"/>
        <v>0.613191206444888</v>
      </c>
      <c r="AS138" s="112">
        <f t="shared" ca="1" si="316"/>
        <v>0.14337219002866247</v>
      </c>
      <c r="AT138" s="159"/>
      <c r="AU138" s="107" t="e">
        <f t="shared" ca="1" si="317"/>
        <v>#N/A</v>
      </c>
      <c r="AV138" s="107" t="e">
        <f t="shared" ca="1" si="318"/>
        <v>#N/A</v>
      </c>
      <c r="AW138" s="107" t="e">
        <f t="shared" ca="1" si="319"/>
        <v>#N/A</v>
      </c>
      <c r="AX138" s="107" t="e">
        <f t="shared" ca="1" si="320"/>
        <v>#N/A</v>
      </c>
      <c r="AY138" s="107" t="e">
        <f t="shared" ca="1" si="321"/>
        <v>#N/A</v>
      </c>
      <c r="AZ138" s="107" t="e">
        <f t="shared" ca="1" si="322"/>
        <v>#N/A</v>
      </c>
      <c r="BA138" s="107" t="e">
        <f t="shared" ca="1" si="323"/>
        <v>#N/A</v>
      </c>
      <c r="BB138" s="107" t="e">
        <f t="shared" ca="1" si="324"/>
        <v>#N/A</v>
      </c>
      <c r="BC138" s="107" t="e">
        <f t="shared" ca="1" si="325"/>
        <v>#N/A</v>
      </c>
      <c r="BE138" s="112" t="e">
        <f t="shared" ca="1" si="326"/>
        <v>#N/A</v>
      </c>
      <c r="BF138" s="112" t="e">
        <f t="shared" ca="1" si="327"/>
        <v>#N/A</v>
      </c>
      <c r="BG138" s="112" t="e">
        <f t="shared" ca="1" si="328"/>
        <v>#N/A</v>
      </c>
      <c r="BH138" s="111"/>
      <c r="BI138" s="112">
        <f t="shared" si="329"/>
        <v>82.55</v>
      </c>
      <c r="BJ138" s="112">
        <f t="shared" si="330"/>
        <v>-2.7</v>
      </c>
      <c r="BK138" s="112">
        <f t="shared" si="331"/>
        <v>58.3</v>
      </c>
      <c r="BL138" s="107"/>
      <c r="BM138" s="113">
        <f t="shared" si="332"/>
        <v>0.84416896551724141</v>
      </c>
      <c r="BN138" s="112">
        <f t="shared" si="333"/>
        <v>0.55806896551724139</v>
      </c>
      <c r="BO138" s="112">
        <f t="shared" si="334"/>
        <v>0.84956896551724137</v>
      </c>
      <c r="BP138" s="113">
        <f t="shared" si="302"/>
        <v>0.60157273695383695</v>
      </c>
      <c r="BQ138" s="113">
        <f t="shared" si="335"/>
        <v>0.613191206444888</v>
      </c>
      <c r="BR138" s="113">
        <f t="shared" si="303"/>
        <v>0.1738055401002091</v>
      </c>
      <c r="BS138" s="125">
        <f t="shared" si="304"/>
        <v>0.58003643297088958</v>
      </c>
      <c r="BT138" s="113">
        <f t="shared" si="305"/>
        <v>0.613191206444888</v>
      </c>
      <c r="BU138" s="112">
        <f t="shared" si="306"/>
        <v>0.14337219002866247</v>
      </c>
      <c r="BV138" s="255"/>
      <c r="BZ138" s="112"/>
      <c r="CA138" s="109"/>
      <c r="CB138" s="112"/>
      <c r="CC138" s="112"/>
      <c r="DG138" s="107"/>
      <c r="DH138" s="107"/>
      <c r="DI138" s="107"/>
      <c r="DJ138" s="107"/>
    </row>
    <row r="139" spans="2:114">
      <c r="B139" s="7"/>
      <c r="C139" s="7"/>
      <c r="D139" s="7"/>
      <c r="E139" s="7"/>
      <c r="F139" s="7"/>
      <c r="G139" s="7"/>
      <c r="H139" s="7"/>
      <c r="I139" s="7"/>
      <c r="J139" s="7"/>
      <c r="K139" s="7"/>
      <c r="L139" s="7"/>
      <c r="Q139" s="7"/>
      <c r="R139" s="64"/>
      <c r="S139" s="64"/>
      <c r="T139" s="64"/>
      <c r="U139" s="64"/>
      <c r="V139" s="64"/>
      <c r="W139" s="64"/>
      <c r="X139" s="64"/>
      <c r="Y139" s="64"/>
      <c r="Z139" s="64"/>
      <c r="AA139" s="64"/>
      <c r="AB139" s="64"/>
      <c r="AC139" s="64"/>
      <c r="AD139" s="64"/>
      <c r="AG139" s="127">
        <f t="shared" ca="1" si="307"/>
        <v>51</v>
      </c>
      <c r="AH139" s="127">
        <f t="shared" ca="1" si="307"/>
        <v>-44</v>
      </c>
      <c r="AI139" s="127">
        <f t="shared" ca="1" si="307"/>
        <v>19</v>
      </c>
      <c r="AJ139" s="109">
        <v>35</v>
      </c>
      <c r="AK139" s="113">
        <f t="shared" ca="1" si="308"/>
        <v>0.48958620689655175</v>
      </c>
      <c r="AL139" s="112">
        <f t="shared" ca="1" si="309"/>
        <v>0.48258620689655174</v>
      </c>
      <c r="AM139" s="112">
        <f t="shared" ca="1" si="310"/>
        <v>0.57758620689655171</v>
      </c>
      <c r="AN139" s="113">
        <f t="shared" ca="1" si="311"/>
        <v>0.11735119645709133</v>
      </c>
      <c r="AO139" s="113">
        <f t="shared" ca="1" si="312"/>
        <v>0.19268612386731723</v>
      </c>
      <c r="AP139" s="113">
        <f t="shared" ca="1" si="313"/>
        <v>0.1123892348958547</v>
      </c>
      <c r="AQ139" s="125">
        <f t="shared" ca="1" si="314"/>
        <v>0.11315002362392745</v>
      </c>
      <c r="AR139" s="113">
        <f t="shared" ca="1" si="315"/>
        <v>0.19268612386731723</v>
      </c>
      <c r="AS139" s="112">
        <f t="shared" ca="1" si="316"/>
        <v>9.2709879865590539E-2</v>
      </c>
      <c r="AT139" s="159"/>
      <c r="AU139" s="107" t="e">
        <f t="shared" ca="1" si="317"/>
        <v>#N/A</v>
      </c>
      <c r="AV139" s="107" t="e">
        <f t="shared" ca="1" si="318"/>
        <v>#N/A</v>
      </c>
      <c r="AW139" s="107" t="e">
        <f t="shared" ca="1" si="319"/>
        <v>#N/A</v>
      </c>
      <c r="AX139" s="107" t="e">
        <f t="shared" ca="1" si="320"/>
        <v>#N/A</v>
      </c>
      <c r="AY139" s="107" t="e">
        <f t="shared" ca="1" si="321"/>
        <v>#N/A</v>
      </c>
      <c r="AZ139" s="107" t="e">
        <f t="shared" ca="1" si="322"/>
        <v>#N/A</v>
      </c>
      <c r="BA139" s="107" t="e">
        <f t="shared" ca="1" si="323"/>
        <v>#N/A</v>
      </c>
      <c r="BB139" s="107" t="e">
        <f t="shared" ca="1" si="324"/>
        <v>#N/A</v>
      </c>
      <c r="BC139" s="107" t="e">
        <f t="shared" ca="1" si="325"/>
        <v>#N/A</v>
      </c>
      <c r="BE139" s="112" t="e">
        <f t="shared" ca="1" si="326"/>
        <v>#N/A</v>
      </c>
      <c r="BF139" s="112" t="e">
        <f t="shared" ca="1" si="327"/>
        <v>#N/A</v>
      </c>
      <c r="BG139" s="112" t="e">
        <f t="shared" ca="1" si="328"/>
        <v>#N/A</v>
      </c>
      <c r="BH139" s="111"/>
      <c r="BI139" s="112">
        <f t="shared" si="329"/>
        <v>51</v>
      </c>
      <c r="BJ139" s="112">
        <f t="shared" si="330"/>
        <v>-44</v>
      </c>
      <c r="BK139" s="112">
        <f t="shared" si="331"/>
        <v>19</v>
      </c>
      <c r="BL139" s="107"/>
      <c r="BM139" s="113">
        <f t="shared" si="332"/>
        <v>0.48958620689655175</v>
      </c>
      <c r="BN139" s="112">
        <f t="shared" si="333"/>
        <v>0.48258620689655174</v>
      </c>
      <c r="BO139" s="112">
        <f t="shared" si="334"/>
        <v>0.57758620689655171</v>
      </c>
      <c r="BP139" s="113">
        <f t="shared" si="302"/>
        <v>0.11735119645709133</v>
      </c>
      <c r="BQ139" s="113">
        <f t="shared" si="335"/>
        <v>0.19268612386731723</v>
      </c>
      <c r="BR139" s="113">
        <f t="shared" si="303"/>
        <v>0.1123892348958547</v>
      </c>
      <c r="BS139" s="125">
        <f t="shared" si="304"/>
        <v>0.11315002362392745</v>
      </c>
      <c r="BT139" s="113">
        <f t="shared" si="305"/>
        <v>0.19268612386731723</v>
      </c>
      <c r="BU139" s="112">
        <f t="shared" si="306"/>
        <v>9.2709879865590539E-2</v>
      </c>
      <c r="BV139" s="255"/>
      <c r="BZ139" s="112"/>
      <c r="CA139" s="109"/>
      <c r="CB139" s="112"/>
      <c r="CC139" s="112"/>
      <c r="DG139" s="107"/>
      <c r="DH139" s="107"/>
      <c r="DI139" s="107"/>
      <c r="DJ139" s="107"/>
    </row>
    <row r="140" spans="2:114">
      <c r="B140" s="7"/>
      <c r="C140" s="7"/>
      <c r="D140" s="7"/>
      <c r="E140" s="7"/>
      <c r="F140" s="7"/>
      <c r="G140" s="7"/>
      <c r="H140" s="7"/>
      <c r="I140" s="7"/>
      <c r="J140" s="7"/>
      <c r="K140" s="7"/>
      <c r="L140" s="7"/>
      <c r="Q140" s="7"/>
      <c r="R140" s="64"/>
      <c r="S140" s="64"/>
      <c r="T140" s="64"/>
      <c r="U140" s="64"/>
      <c r="V140" s="64"/>
      <c r="W140" s="64"/>
      <c r="X140" s="64"/>
      <c r="Y140" s="64"/>
      <c r="Z140" s="64"/>
      <c r="AA140" s="64"/>
      <c r="AB140" s="64"/>
      <c r="AC140" s="64"/>
      <c r="AD140" s="64"/>
      <c r="AG140" s="127">
        <f t="shared" ca="1" si="307"/>
        <v>44.39</v>
      </c>
      <c r="AH140" s="127">
        <f t="shared" ca="1" si="307"/>
        <v>26.03</v>
      </c>
      <c r="AI140" s="127">
        <f t="shared" ca="1" si="307"/>
        <v>9.07</v>
      </c>
      <c r="AJ140" s="109">
        <v>36</v>
      </c>
      <c r="AK140" s="113">
        <f t="shared" ca="1" si="308"/>
        <v>0.57266344827586202</v>
      </c>
      <c r="AL140" s="112">
        <f t="shared" ca="1" si="309"/>
        <v>0.47525344827586202</v>
      </c>
      <c r="AM140" s="112">
        <f t="shared" ca="1" si="310"/>
        <v>0.52060344827586202</v>
      </c>
      <c r="AN140" s="113">
        <f t="shared" ca="1" si="311"/>
        <v>0.1878012125948576</v>
      </c>
      <c r="AO140" s="113">
        <f t="shared" ca="1" si="312"/>
        <v>0.14109808553484662</v>
      </c>
      <c r="AP140" s="113">
        <f t="shared" ca="1" si="313"/>
        <v>0.10734351935434529</v>
      </c>
      <c r="AQ140" s="125">
        <f t="shared" ca="1" si="314"/>
        <v>0.18107792918396168</v>
      </c>
      <c r="AR140" s="113">
        <f t="shared" ca="1" si="315"/>
        <v>0.14109808553484662</v>
      </c>
      <c r="AS140" s="112">
        <f t="shared" ca="1" si="316"/>
        <v>8.8547669115399422E-2</v>
      </c>
      <c r="AT140" s="159"/>
      <c r="AU140" s="107" t="e">
        <f t="shared" ca="1" si="317"/>
        <v>#N/A</v>
      </c>
      <c r="AV140" s="107" t="e">
        <f t="shared" ca="1" si="318"/>
        <v>#N/A</v>
      </c>
      <c r="AW140" s="107" t="e">
        <f t="shared" ca="1" si="319"/>
        <v>#N/A</v>
      </c>
      <c r="AX140" s="107" t="e">
        <f t="shared" ca="1" si="320"/>
        <v>#N/A</v>
      </c>
      <c r="AY140" s="107" t="e">
        <f t="shared" ca="1" si="321"/>
        <v>#N/A</v>
      </c>
      <c r="AZ140" s="107" t="e">
        <f t="shared" ca="1" si="322"/>
        <v>#N/A</v>
      </c>
      <c r="BA140" s="107" t="e">
        <f t="shared" ca="1" si="323"/>
        <v>#N/A</v>
      </c>
      <c r="BB140" s="107" t="e">
        <f t="shared" ca="1" si="324"/>
        <v>#N/A</v>
      </c>
      <c r="BC140" s="107" t="e">
        <f t="shared" ca="1" si="325"/>
        <v>#N/A</v>
      </c>
      <c r="BE140" s="112" t="e">
        <f t="shared" ca="1" si="326"/>
        <v>#N/A</v>
      </c>
      <c r="BF140" s="112" t="e">
        <f t="shared" ca="1" si="327"/>
        <v>#N/A</v>
      </c>
      <c r="BG140" s="112" t="e">
        <f t="shared" ca="1" si="328"/>
        <v>#N/A</v>
      </c>
      <c r="BH140" s="111"/>
      <c r="BI140" s="112">
        <f t="shared" si="329"/>
        <v>44.39</v>
      </c>
      <c r="BJ140" s="112">
        <f t="shared" si="330"/>
        <v>26.03</v>
      </c>
      <c r="BK140" s="112">
        <f t="shared" si="331"/>
        <v>9.07</v>
      </c>
      <c r="BL140" s="107"/>
      <c r="BM140" s="113">
        <f t="shared" si="332"/>
        <v>0.57266344827586202</v>
      </c>
      <c r="BN140" s="112">
        <f t="shared" si="333"/>
        <v>0.47525344827586202</v>
      </c>
      <c r="BO140" s="112">
        <f t="shared" si="334"/>
        <v>0.52060344827586202</v>
      </c>
      <c r="BP140" s="113">
        <f t="shared" si="302"/>
        <v>0.1878012125948576</v>
      </c>
      <c r="BQ140" s="113">
        <f t="shared" si="335"/>
        <v>0.14109808553484662</v>
      </c>
      <c r="BR140" s="113">
        <f t="shared" si="303"/>
        <v>0.10734351935434529</v>
      </c>
      <c r="BS140" s="125">
        <f t="shared" si="304"/>
        <v>0.18107792918396168</v>
      </c>
      <c r="BT140" s="113">
        <f t="shared" si="305"/>
        <v>0.14109808553484662</v>
      </c>
      <c r="BU140" s="112">
        <f t="shared" si="306"/>
        <v>8.8547669115399422E-2</v>
      </c>
      <c r="BV140" s="255"/>
      <c r="BZ140" s="112"/>
      <c r="CA140" s="112"/>
      <c r="CB140" s="112"/>
      <c r="CC140" s="112"/>
      <c r="DG140" s="107"/>
      <c r="DH140" s="107"/>
      <c r="DI140" s="107"/>
      <c r="DJ140" s="107"/>
    </row>
    <row r="141" spans="2:114">
      <c r="B141" s="7"/>
      <c r="C141" s="7"/>
      <c r="D141" s="7"/>
      <c r="E141" s="7"/>
      <c r="F141" s="7"/>
      <c r="G141" s="7"/>
      <c r="H141" s="7"/>
      <c r="I141" s="7"/>
      <c r="J141" s="7"/>
      <c r="K141" s="7"/>
      <c r="L141" s="7"/>
      <c r="Q141" s="7"/>
      <c r="R141" s="64"/>
      <c r="S141" s="64"/>
      <c r="T141" s="64"/>
      <c r="U141" s="64"/>
      <c r="V141" s="64"/>
      <c r="W141" s="64"/>
      <c r="X141" s="64"/>
      <c r="Y141" s="64"/>
      <c r="Z141" s="64"/>
      <c r="AA141" s="64"/>
      <c r="AB141" s="64"/>
      <c r="AC141" s="64"/>
      <c r="AD141" s="64"/>
      <c r="AG141" s="127">
        <f t="shared" ca="1" si="307"/>
        <v>83.64</v>
      </c>
      <c r="AH141" s="127">
        <f t="shared" ca="1" si="307"/>
        <v>-2.73</v>
      </c>
      <c r="AI141" s="127">
        <f t="shared" ca="1" si="307"/>
        <v>40.340000000000003</v>
      </c>
      <c r="AJ141" s="109">
        <v>37</v>
      </c>
      <c r="AK141" s="113">
        <f t="shared" ca="1" si="308"/>
        <v>0.85350551724137924</v>
      </c>
      <c r="AL141" s="112">
        <f t="shared" ca="1" si="309"/>
        <v>0.65726551724137927</v>
      </c>
      <c r="AM141" s="112">
        <f t="shared" ca="1" si="310"/>
        <v>0.85896551724137926</v>
      </c>
      <c r="AN141" s="113">
        <f t="shared" ca="1" si="311"/>
        <v>0.62175458775914838</v>
      </c>
      <c r="AO141" s="113">
        <f t="shared" ca="1" si="312"/>
        <v>0.63376344954692676</v>
      </c>
      <c r="AP141" s="113">
        <f t="shared" ca="1" si="313"/>
        <v>0.28393736272821934</v>
      </c>
      <c r="AQ141" s="125">
        <f t="shared" ca="1" si="314"/>
        <v>0.59949577351737082</v>
      </c>
      <c r="AR141" s="113">
        <f t="shared" ca="1" si="315"/>
        <v>0.63376344954692676</v>
      </c>
      <c r="AS141" s="112">
        <f t="shared" ca="1" si="316"/>
        <v>0.23421993051450812</v>
      </c>
      <c r="AT141" s="159"/>
      <c r="AU141" s="107" t="e">
        <f t="shared" ca="1" si="317"/>
        <v>#N/A</v>
      </c>
      <c r="AV141" s="107" t="e">
        <f t="shared" ca="1" si="318"/>
        <v>#N/A</v>
      </c>
      <c r="AW141" s="107" t="e">
        <f t="shared" ca="1" si="319"/>
        <v>#N/A</v>
      </c>
      <c r="AX141" s="107" t="e">
        <f t="shared" ca="1" si="320"/>
        <v>#N/A</v>
      </c>
      <c r="AY141" s="107" t="e">
        <f t="shared" ca="1" si="321"/>
        <v>#N/A</v>
      </c>
      <c r="AZ141" s="107" t="e">
        <f t="shared" ca="1" si="322"/>
        <v>#N/A</v>
      </c>
      <c r="BA141" s="107" t="e">
        <f t="shared" ca="1" si="323"/>
        <v>#N/A</v>
      </c>
      <c r="BB141" s="107" t="e">
        <f t="shared" ca="1" si="324"/>
        <v>#N/A</v>
      </c>
      <c r="BC141" s="107" t="e">
        <f t="shared" ca="1" si="325"/>
        <v>#N/A</v>
      </c>
      <c r="BE141" s="112" t="e">
        <f t="shared" ca="1" si="326"/>
        <v>#N/A</v>
      </c>
      <c r="BF141" s="112" t="e">
        <f t="shared" ca="1" si="327"/>
        <v>#N/A</v>
      </c>
      <c r="BG141" s="112" t="e">
        <f t="shared" ca="1" si="328"/>
        <v>#N/A</v>
      </c>
      <c r="BH141" s="111"/>
      <c r="BI141" s="112">
        <f t="shared" si="329"/>
        <v>83.64</v>
      </c>
      <c r="BJ141" s="112">
        <f t="shared" si="330"/>
        <v>-2.73</v>
      </c>
      <c r="BK141" s="112">
        <f t="shared" si="331"/>
        <v>40.340000000000003</v>
      </c>
      <c r="BL141" s="107"/>
      <c r="BM141" s="113">
        <f t="shared" si="332"/>
        <v>0.85350551724137924</v>
      </c>
      <c r="BN141" s="112">
        <f t="shared" si="333"/>
        <v>0.65726551724137927</v>
      </c>
      <c r="BO141" s="112">
        <f t="shared" si="334"/>
        <v>0.85896551724137926</v>
      </c>
      <c r="BP141" s="113">
        <f t="shared" si="302"/>
        <v>0.62175458775914838</v>
      </c>
      <c r="BQ141" s="113">
        <f t="shared" si="335"/>
        <v>0.63376344954692676</v>
      </c>
      <c r="BR141" s="113">
        <f t="shared" si="303"/>
        <v>0.28393736272821934</v>
      </c>
      <c r="BS141" s="125">
        <f t="shared" si="304"/>
        <v>0.59949577351737082</v>
      </c>
      <c r="BT141" s="113">
        <f t="shared" si="305"/>
        <v>0.63376344954692676</v>
      </c>
      <c r="BU141" s="112">
        <f t="shared" si="306"/>
        <v>0.23421993051450812</v>
      </c>
      <c r="BV141" s="255"/>
      <c r="BZ141" s="112"/>
      <c r="CA141" s="112"/>
      <c r="CB141" s="112"/>
      <c r="CC141" s="112"/>
      <c r="DG141" s="107"/>
      <c r="DH141" s="107"/>
      <c r="DI141" s="107"/>
      <c r="DJ141" s="107"/>
    </row>
    <row r="142" spans="2:114">
      <c r="B142" s="7"/>
      <c r="C142" s="7"/>
      <c r="D142" s="7"/>
      <c r="E142" s="7"/>
      <c r="F142" s="7"/>
      <c r="G142" s="7"/>
      <c r="H142" s="7"/>
      <c r="I142" s="7"/>
      <c r="J142" s="7"/>
      <c r="K142" s="7"/>
      <c r="L142" s="7"/>
      <c r="Q142" s="7"/>
      <c r="R142" s="64"/>
      <c r="S142" s="64"/>
      <c r="T142" s="64"/>
      <c r="U142" s="64"/>
      <c r="V142" s="64"/>
      <c r="W142" s="64"/>
      <c r="X142" s="64"/>
      <c r="Y142" s="64"/>
      <c r="Z142" s="64"/>
      <c r="AA142" s="64"/>
      <c r="AB142" s="64"/>
      <c r="AC142" s="64"/>
      <c r="AD142" s="64"/>
      <c r="AG142" s="127">
        <f t="shared" ca="1" si="307"/>
        <v>58.35</v>
      </c>
      <c r="AH142" s="127">
        <f t="shared" ca="1" si="307"/>
        <v>-34.409999999999997</v>
      </c>
      <c r="AI142" s="127">
        <f t="shared" ca="1" si="307"/>
        <v>18.25</v>
      </c>
      <c r="AJ142" s="109">
        <v>38</v>
      </c>
      <c r="AK142" s="113">
        <f t="shared" ca="1" si="308"/>
        <v>0.57212827586206894</v>
      </c>
      <c r="AL142" s="112">
        <f t="shared" ca="1" si="309"/>
        <v>0.54969827586206899</v>
      </c>
      <c r="AM142" s="112">
        <f t="shared" ca="1" si="310"/>
        <v>0.64094827586206893</v>
      </c>
      <c r="AN142" s="113">
        <f t="shared" ca="1" si="311"/>
        <v>0.18727518566733592</v>
      </c>
      <c r="AO142" s="113">
        <f t="shared" ca="1" si="312"/>
        <v>0.26331096874807797</v>
      </c>
      <c r="AP142" s="113">
        <f t="shared" ca="1" si="313"/>
        <v>0.16610133552916084</v>
      </c>
      <c r="AQ142" s="125">
        <f t="shared" ca="1" si="314"/>
        <v>0.18057073402044529</v>
      </c>
      <c r="AR142" s="113">
        <f t="shared" ca="1" si="315"/>
        <v>0.26331096874807797</v>
      </c>
      <c r="AS142" s="112">
        <f t="shared" ca="1" si="316"/>
        <v>0.13701699167800477</v>
      </c>
      <c r="AT142" s="159"/>
      <c r="AU142" s="107" t="e">
        <f t="shared" ca="1" si="317"/>
        <v>#N/A</v>
      </c>
      <c r="AV142" s="107" t="e">
        <f t="shared" ca="1" si="318"/>
        <v>#N/A</v>
      </c>
      <c r="AW142" s="107" t="e">
        <f t="shared" ca="1" si="319"/>
        <v>#N/A</v>
      </c>
      <c r="AX142" s="107" t="e">
        <f t="shared" ca="1" si="320"/>
        <v>#N/A</v>
      </c>
      <c r="AY142" s="107" t="e">
        <f t="shared" ca="1" si="321"/>
        <v>#N/A</v>
      </c>
      <c r="AZ142" s="107" t="e">
        <f t="shared" ca="1" si="322"/>
        <v>#N/A</v>
      </c>
      <c r="BA142" s="107" t="e">
        <f t="shared" ca="1" si="323"/>
        <v>#N/A</v>
      </c>
      <c r="BB142" s="107" t="e">
        <f t="shared" ca="1" si="324"/>
        <v>#N/A</v>
      </c>
      <c r="BC142" s="107" t="e">
        <f t="shared" ca="1" si="325"/>
        <v>#N/A</v>
      </c>
      <c r="BE142" s="112" t="e">
        <f t="shared" ca="1" si="326"/>
        <v>#N/A</v>
      </c>
      <c r="BF142" s="112" t="e">
        <f t="shared" ca="1" si="327"/>
        <v>#N/A</v>
      </c>
      <c r="BG142" s="112" t="e">
        <f t="shared" ca="1" si="328"/>
        <v>#N/A</v>
      </c>
      <c r="BH142" s="111"/>
      <c r="BI142" s="112">
        <f t="shared" si="329"/>
        <v>58.35</v>
      </c>
      <c r="BJ142" s="112">
        <f t="shared" si="330"/>
        <v>-34.409999999999997</v>
      </c>
      <c r="BK142" s="112">
        <f t="shared" si="331"/>
        <v>18.25</v>
      </c>
      <c r="BL142" s="107"/>
      <c r="BM142" s="113">
        <f t="shared" si="332"/>
        <v>0.57212827586206894</v>
      </c>
      <c r="BN142" s="112">
        <f t="shared" si="333"/>
        <v>0.54969827586206899</v>
      </c>
      <c r="BO142" s="112">
        <f t="shared" si="334"/>
        <v>0.64094827586206893</v>
      </c>
      <c r="BP142" s="113">
        <f t="shared" si="302"/>
        <v>0.18727518566733592</v>
      </c>
      <c r="BQ142" s="113">
        <f t="shared" si="335"/>
        <v>0.26331096874807797</v>
      </c>
      <c r="BR142" s="113">
        <f t="shared" si="303"/>
        <v>0.16610133552916084</v>
      </c>
      <c r="BS142" s="125">
        <f t="shared" si="304"/>
        <v>0.18057073402044529</v>
      </c>
      <c r="BT142" s="113">
        <f t="shared" si="305"/>
        <v>0.26331096874807797</v>
      </c>
      <c r="BU142" s="112">
        <f t="shared" si="306"/>
        <v>0.13701699167800477</v>
      </c>
      <c r="BV142" s="255"/>
      <c r="BZ142" s="112"/>
      <c r="CA142" s="112"/>
      <c r="CB142" s="112"/>
      <c r="CC142" s="112"/>
      <c r="DG142" s="107"/>
      <c r="DH142" s="107"/>
      <c r="DI142" s="107"/>
      <c r="DJ142" s="107"/>
    </row>
    <row r="143" spans="2:114">
      <c r="B143" s="7"/>
      <c r="C143" s="7"/>
      <c r="D143" s="7"/>
      <c r="E143" s="7"/>
      <c r="F143" s="7"/>
      <c r="G143" s="7"/>
      <c r="H143" s="7"/>
      <c r="I143" s="7"/>
      <c r="J143" s="7"/>
      <c r="K143" s="7"/>
      <c r="L143" s="7"/>
      <c r="Q143" s="7"/>
      <c r="R143" s="64"/>
      <c r="S143" s="64"/>
      <c r="T143" s="64"/>
      <c r="U143" s="64"/>
      <c r="V143" s="64"/>
      <c r="W143" s="64"/>
      <c r="X143" s="64"/>
      <c r="Y143" s="64"/>
      <c r="Z143" s="64"/>
      <c r="AA143" s="64"/>
      <c r="AB143" s="64"/>
      <c r="AC143" s="64"/>
      <c r="AD143" s="64"/>
      <c r="AE143" s="134"/>
      <c r="AF143" s="134"/>
      <c r="AG143" s="127">
        <f t="shared" ca="1" si="307"/>
        <v>49.81</v>
      </c>
      <c r="AH143" s="127">
        <f t="shared" ca="1" si="307"/>
        <v>13.82</v>
      </c>
      <c r="AI143" s="127">
        <f t="shared" ca="1" si="307"/>
        <v>22.78</v>
      </c>
      <c r="AJ143" s="109">
        <v>39</v>
      </c>
      <c r="AK143" s="113">
        <f t="shared" ca="1" si="308"/>
        <v>0.5949675862068966</v>
      </c>
      <c r="AL143" s="112">
        <f t="shared" ca="1" si="309"/>
        <v>0.4534275862068966</v>
      </c>
      <c r="AM143" s="112">
        <f t="shared" ca="1" si="310"/>
        <v>0.56732758620689661</v>
      </c>
      <c r="AN143" s="113">
        <f t="shared" ca="1" si="311"/>
        <v>0.21061045099607301</v>
      </c>
      <c r="AO143" s="113">
        <f t="shared" ca="1" si="312"/>
        <v>0.18260039166030287</v>
      </c>
      <c r="AP143" s="113">
        <f t="shared" ca="1" si="313"/>
        <v>9.3223159157890229E-2</v>
      </c>
      <c r="AQ143" s="125">
        <f t="shared" ca="1" si="314"/>
        <v>0.20307059685041359</v>
      </c>
      <c r="AR143" s="113">
        <f t="shared" ca="1" si="315"/>
        <v>0.18260039166030287</v>
      </c>
      <c r="AS143" s="112">
        <f t="shared" ca="1" si="316"/>
        <v>7.6899783989343648E-2</v>
      </c>
      <c r="AT143" s="159"/>
      <c r="AU143" s="107" t="e">
        <f t="shared" ca="1" si="317"/>
        <v>#N/A</v>
      </c>
      <c r="AV143" s="107" t="e">
        <f t="shared" ca="1" si="318"/>
        <v>#N/A</v>
      </c>
      <c r="AW143" s="107" t="e">
        <f t="shared" ca="1" si="319"/>
        <v>#N/A</v>
      </c>
      <c r="AX143" s="107" t="e">
        <f t="shared" ca="1" si="320"/>
        <v>#N/A</v>
      </c>
      <c r="AY143" s="107" t="e">
        <f t="shared" ca="1" si="321"/>
        <v>#N/A</v>
      </c>
      <c r="AZ143" s="107" t="e">
        <f t="shared" ca="1" si="322"/>
        <v>#N/A</v>
      </c>
      <c r="BA143" s="107" t="e">
        <f t="shared" ca="1" si="323"/>
        <v>#N/A</v>
      </c>
      <c r="BB143" s="107" t="e">
        <f t="shared" ca="1" si="324"/>
        <v>#N/A</v>
      </c>
      <c r="BC143" s="107" t="e">
        <f t="shared" ca="1" si="325"/>
        <v>#N/A</v>
      </c>
      <c r="BE143" s="112" t="e">
        <f t="shared" ca="1" si="326"/>
        <v>#N/A</v>
      </c>
      <c r="BF143" s="112" t="e">
        <f t="shared" ca="1" si="327"/>
        <v>#N/A</v>
      </c>
      <c r="BG143" s="112" t="e">
        <f t="shared" ca="1" si="328"/>
        <v>#N/A</v>
      </c>
      <c r="BH143" s="111"/>
      <c r="BI143" s="112">
        <f t="shared" si="329"/>
        <v>49.81</v>
      </c>
      <c r="BJ143" s="112">
        <f t="shared" si="330"/>
        <v>13.82</v>
      </c>
      <c r="BK143" s="112">
        <f t="shared" si="331"/>
        <v>22.78</v>
      </c>
      <c r="BL143" s="107"/>
      <c r="BM143" s="113">
        <f t="shared" si="332"/>
        <v>0.5949675862068966</v>
      </c>
      <c r="BN143" s="112">
        <f t="shared" si="333"/>
        <v>0.4534275862068966</v>
      </c>
      <c r="BO143" s="112">
        <f t="shared" si="334"/>
        <v>0.56732758620689661</v>
      </c>
      <c r="BP143" s="113">
        <f t="shared" si="302"/>
        <v>0.21061045099607301</v>
      </c>
      <c r="BQ143" s="113">
        <f t="shared" si="335"/>
        <v>0.18260039166030287</v>
      </c>
      <c r="BR143" s="113">
        <f t="shared" si="303"/>
        <v>9.3223159157890229E-2</v>
      </c>
      <c r="BS143" s="125">
        <f t="shared" si="304"/>
        <v>0.20307059685041359</v>
      </c>
      <c r="BT143" s="113">
        <f t="shared" si="305"/>
        <v>0.18260039166030287</v>
      </c>
      <c r="BU143" s="112">
        <f t="shared" si="306"/>
        <v>7.6899783989343648E-2</v>
      </c>
      <c r="BV143" s="255"/>
      <c r="BZ143" s="112"/>
      <c r="CA143" s="112"/>
      <c r="CB143" s="112"/>
      <c r="CC143" s="112"/>
      <c r="DG143" s="107"/>
      <c r="DH143" s="107"/>
      <c r="DI143" s="107"/>
      <c r="DJ143" s="107"/>
    </row>
    <row r="144" spans="2:114">
      <c r="B144" s="7"/>
      <c r="C144" s="7"/>
      <c r="D144" s="7"/>
      <c r="E144" s="7"/>
      <c r="F144" s="7"/>
      <c r="G144" s="7"/>
      <c r="H144" s="7"/>
      <c r="I144" s="7"/>
      <c r="J144" s="7"/>
      <c r="K144" s="7"/>
      <c r="L144" s="7"/>
      <c r="Q144" s="7"/>
      <c r="R144" s="64"/>
      <c r="S144" s="64"/>
      <c r="T144" s="64"/>
      <c r="U144" s="64"/>
      <c r="V144" s="64"/>
      <c r="W144" s="64"/>
      <c r="X144" s="64"/>
      <c r="Y144" s="64"/>
      <c r="Z144" s="64"/>
      <c r="AA144" s="64"/>
      <c r="AB144" s="64"/>
      <c r="AC144" s="64"/>
      <c r="AD144" s="64"/>
      <c r="AE144" s="134"/>
      <c r="AF144" s="134"/>
      <c r="AG144" s="127">
        <f t="shared" ca="1" si="307"/>
        <v>85.14</v>
      </c>
      <c r="AH144" s="127">
        <f t="shared" ca="1" si="307"/>
        <v>-1.77</v>
      </c>
      <c r="AI144" s="127">
        <f t="shared" ca="1" si="307"/>
        <v>22.27</v>
      </c>
      <c r="AJ144" s="109">
        <v>40</v>
      </c>
      <c r="AK144" s="113">
        <f t="shared" ca="1" si="308"/>
        <v>0.86835655172413795</v>
      </c>
      <c r="AL144" s="112">
        <f t="shared" ca="1" si="309"/>
        <v>0.76054655172413788</v>
      </c>
      <c r="AM144" s="112">
        <f t="shared" ca="1" si="310"/>
        <v>0.87189655172413794</v>
      </c>
      <c r="AN144" s="113">
        <f t="shared" ca="1" si="311"/>
        <v>0.65477826696820851</v>
      </c>
      <c r="AO144" s="113">
        <f t="shared" ca="1" si="312"/>
        <v>0.66281889475275735</v>
      </c>
      <c r="AP144" s="113">
        <f t="shared" ca="1" si="313"/>
        <v>0.43992374606968609</v>
      </c>
      <c r="AQ144" s="125">
        <f t="shared" ca="1" si="314"/>
        <v>0.63133720501074664</v>
      </c>
      <c r="AR144" s="113">
        <f t="shared" ca="1" si="315"/>
        <v>0.66281889475275735</v>
      </c>
      <c r="AS144" s="112">
        <f t="shared" ca="1" si="316"/>
        <v>0.36289309813288406</v>
      </c>
      <c r="AT144" s="159"/>
      <c r="AU144" s="107" t="e">
        <f t="shared" ca="1" si="317"/>
        <v>#N/A</v>
      </c>
      <c r="AV144" s="107" t="e">
        <f t="shared" ca="1" si="318"/>
        <v>#N/A</v>
      </c>
      <c r="AW144" s="107" t="e">
        <f t="shared" ca="1" si="319"/>
        <v>#N/A</v>
      </c>
      <c r="AX144" s="107" t="e">
        <f t="shared" ca="1" si="320"/>
        <v>#N/A</v>
      </c>
      <c r="AY144" s="107" t="e">
        <f t="shared" ca="1" si="321"/>
        <v>#N/A</v>
      </c>
      <c r="AZ144" s="107" t="e">
        <f t="shared" ca="1" si="322"/>
        <v>#N/A</v>
      </c>
      <c r="BA144" s="107" t="e">
        <f t="shared" ca="1" si="323"/>
        <v>#N/A</v>
      </c>
      <c r="BB144" s="107" t="e">
        <f t="shared" ca="1" si="324"/>
        <v>#N/A</v>
      </c>
      <c r="BC144" s="107" t="e">
        <f t="shared" ca="1" si="325"/>
        <v>#N/A</v>
      </c>
      <c r="BE144" s="112" t="e">
        <f t="shared" ca="1" si="326"/>
        <v>#N/A</v>
      </c>
      <c r="BF144" s="112" t="e">
        <f t="shared" ca="1" si="327"/>
        <v>#N/A</v>
      </c>
      <c r="BG144" s="112" t="e">
        <f t="shared" ca="1" si="328"/>
        <v>#N/A</v>
      </c>
      <c r="BH144" s="111"/>
      <c r="BI144" s="112">
        <f t="shared" si="329"/>
        <v>85.14</v>
      </c>
      <c r="BJ144" s="112">
        <f t="shared" si="330"/>
        <v>-1.77</v>
      </c>
      <c r="BK144" s="112">
        <f t="shared" si="331"/>
        <v>22.27</v>
      </c>
      <c r="BL144" s="107"/>
      <c r="BM144" s="113">
        <f t="shared" si="332"/>
        <v>0.86835655172413795</v>
      </c>
      <c r="BN144" s="112">
        <f t="shared" si="333"/>
        <v>0.76054655172413788</v>
      </c>
      <c r="BO144" s="112">
        <f t="shared" si="334"/>
        <v>0.87189655172413794</v>
      </c>
      <c r="BP144" s="113">
        <f t="shared" si="302"/>
        <v>0.65477826696820851</v>
      </c>
      <c r="BQ144" s="113">
        <f t="shared" si="335"/>
        <v>0.66281889475275735</v>
      </c>
      <c r="BR144" s="113">
        <f t="shared" si="303"/>
        <v>0.43992374606968609</v>
      </c>
      <c r="BS144" s="125">
        <f t="shared" si="304"/>
        <v>0.63133720501074664</v>
      </c>
      <c r="BT144" s="113">
        <f t="shared" si="305"/>
        <v>0.66281889475275735</v>
      </c>
      <c r="BU144" s="112">
        <f t="shared" si="306"/>
        <v>0.36289309813288406</v>
      </c>
      <c r="BV144" s="255"/>
      <c r="BZ144" s="112"/>
      <c r="CA144" s="112"/>
      <c r="CB144" s="112"/>
      <c r="CC144" s="112"/>
      <c r="DG144" s="107"/>
      <c r="DH144" s="107"/>
      <c r="DI144" s="107"/>
      <c r="DJ144" s="107"/>
    </row>
    <row r="145" spans="2:114">
      <c r="B145" s="7"/>
      <c r="C145" s="7"/>
      <c r="D145" s="7"/>
      <c r="E145" s="7"/>
      <c r="F145" s="7"/>
      <c r="G145" s="7"/>
      <c r="H145" s="7"/>
      <c r="I145" s="7"/>
      <c r="J145" s="7"/>
      <c r="K145" s="7"/>
      <c r="L145" s="7"/>
      <c r="Q145" s="7"/>
      <c r="R145" s="64"/>
      <c r="S145" s="64"/>
      <c r="T145" s="64"/>
      <c r="U145" s="64"/>
      <c r="V145" s="64"/>
      <c r="W145" s="64"/>
      <c r="X145" s="64"/>
      <c r="Y145" s="64"/>
      <c r="Z145" s="64"/>
      <c r="AA145" s="64"/>
      <c r="AB145" s="64"/>
      <c r="AC145" s="64"/>
      <c r="AD145" s="64"/>
      <c r="AE145" s="134"/>
      <c r="AF145" s="134"/>
      <c r="AG145" s="127">
        <f t="shared" ref="AG145:AI158" ca="1" si="336">INDEX(INDIRECT($AI$9),$AJ145,AG$103)</f>
        <v>67.12</v>
      </c>
      <c r="AH145" s="127">
        <f t="shared" ca="1" si="336"/>
        <v>-22.63</v>
      </c>
      <c r="AI145" s="127">
        <f t="shared" ca="1" si="336"/>
        <v>15.41</v>
      </c>
      <c r="AJ145" s="109">
        <v>41</v>
      </c>
      <c r="AK145" s="113">
        <f t="shared" ca="1" si="308"/>
        <v>0.67129172413793115</v>
      </c>
      <c r="AL145" s="112">
        <f t="shared" ca="1" si="309"/>
        <v>0.63950172413793105</v>
      </c>
      <c r="AM145" s="112">
        <f t="shared" ca="1" si="310"/>
        <v>0.71655172413793111</v>
      </c>
      <c r="AN145" s="113">
        <f t="shared" ca="1" si="311"/>
        <v>0.30250592083986932</v>
      </c>
      <c r="AO145" s="113">
        <f t="shared" ca="1" si="312"/>
        <v>0.36791088408708855</v>
      </c>
      <c r="AP145" s="113">
        <f t="shared" ca="1" si="313"/>
        <v>0.261532195192341</v>
      </c>
      <c r="AQ145" s="125">
        <f t="shared" ca="1" si="314"/>
        <v>0.29167620887380197</v>
      </c>
      <c r="AR145" s="113">
        <f t="shared" ca="1" si="315"/>
        <v>0.36791088408708855</v>
      </c>
      <c r="AS145" s="112">
        <f t="shared" ca="1" si="316"/>
        <v>0.21573790781416208</v>
      </c>
      <c r="AT145" s="159"/>
      <c r="AU145" s="107" t="e">
        <f t="shared" ca="1" si="317"/>
        <v>#N/A</v>
      </c>
      <c r="AV145" s="107" t="e">
        <f t="shared" ca="1" si="318"/>
        <v>#N/A</v>
      </c>
      <c r="AW145" s="107" t="e">
        <f t="shared" ca="1" si="319"/>
        <v>#N/A</v>
      </c>
      <c r="AX145" s="107" t="e">
        <f t="shared" ca="1" si="320"/>
        <v>#N/A</v>
      </c>
      <c r="AY145" s="107" t="e">
        <f t="shared" ca="1" si="321"/>
        <v>#N/A</v>
      </c>
      <c r="AZ145" s="107" t="e">
        <f t="shared" ca="1" si="322"/>
        <v>#N/A</v>
      </c>
      <c r="BA145" s="107" t="e">
        <f t="shared" ca="1" si="323"/>
        <v>#N/A</v>
      </c>
      <c r="BB145" s="107" t="e">
        <f t="shared" ca="1" si="324"/>
        <v>#N/A</v>
      </c>
      <c r="BC145" s="107" t="e">
        <f t="shared" ca="1" si="325"/>
        <v>#N/A</v>
      </c>
      <c r="BE145" s="112" t="e">
        <f t="shared" ca="1" si="326"/>
        <v>#N/A</v>
      </c>
      <c r="BF145" s="112" t="e">
        <f t="shared" ca="1" si="327"/>
        <v>#N/A</v>
      </c>
      <c r="BG145" s="112" t="e">
        <f t="shared" ca="1" si="328"/>
        <v>#N/A</v>
      </c>
      <c r="BH145" s="111"/>
      <c r="BI145" s="112">
        <f t="shared" si="329"/>
        <v>67.12</v>
      </c>
      <c r="BJ145" s="112">
        <f t="shared" si="330"/>
        <v>-22.63</v>
      </c>
      <c r="BK145" s="112">
        <f t="shared" si="331"/>
        <v>15.41</v>
      </c>
      <c r="BL145" s="107"/>
      <c r="BM145" s="113">
        <f t="shared" si="332"/>
        <v>0.67129172413793115</v>
      </c>
      <c r="BN145" s="112">
        <f t="shared" si="333"/>
        <v>0.63950172413793105</v>
      </c>
      <c r="BO145" s="112">
        <f t="shared" si="334"/>
        <v>0.71655172413793111</v>
      </c>
      <c r="BP145" s="113">
        <f t="shared" si="302"/>
        <v>0.30250592083986932</v>
      </c>
      <c r="BQ145" s="113">
        <f t="shared" si="335"/>
        <v>0.36791088408708855</v>
      </c>
      <c r="BR145" s="113">
        <f t="shared" si="303"/>
        <v>0.261532195192341</v>
      </c>
      <c r="BS145" s="125">
        <f t="shared" si="304"/>
        <v>0.29167620887380197</v>
      </c>
      <c r="BT145" s="113">
        <f t="shared" si="305"/>
        <v>0.36791088408708855</v>
      </c>
      <c r="BU145" s="112">
        <f t="shared" si="306"/>
        <v>0.21573790781416208</v>
      </c>
      <c r="BV145" s="255"/>
      <c r="BZ145" s="112"/>
      <c r="CA145" s="112"/>
      <c r="CB145" s="112"/>
      <c r="CC145" s="112"/>
      <c r="DG145" s="107"/>
      <c r="DH145" s="107"/>
      <c r="DI145" s="107"/>
      <c r="DJ145" s="107"/>
    </row>
    <row r="146" spans="2:114">
      <c r="B146" s="7"/>
      <c r="C146" s="7"/>
      <c r="D146" s="7"/>
      <c r="E146" s="7"/>
      <c r="F146" s="7"/>
      <c r="G146" s="7"/>
      <c r="H146" s="7"/>
      <c r="I146" s="7"/>
      <c r="J146" s="7"/>
      <c r="K146" s="7"/>
      <c r="L146" s="7"/>
      <c r="R146" s="64"/>
      <c r="S146" s="64"/>
      <c r="T146" s="64"/>
      <c r="U146" s="64"/>
      <c r="V146" s="64"/>
      <c r="W146" s="64"/>
      <c r="X146" s="64"/>
      <c r="Y146" s="64"/>
      <c r="Z146" s="64"/>
      <c r="AA146" s="64"/>
      <c r="AB146" s="64"/>
      <c r="AC146" s="64"/>
      <c r="AD146" s="64"/>
      <c r="AE146" s="134"/>
      <c r="AF146" s="134"/>
      <c r="AG146" s="127">
        <f t="shared" ca="1" si="336"/>
        <v>50.93</v>
      </c>
      <c r="AH146" s="127">
        <f t="shared" ca="1" si="336"/>
        <v>-12.96</v>
      </c>
      <c r="AI146" s="127">
        <f t="shared" ca="1" si="336"/>
        <v>19.649999999999999</v>
      </c>
      <c r="AJ146" s="109">
        <v>42</v>
      </c>
      <c r="AK146" s="113">
        <f t="shared" ca="1" si="308"/>
        <v>0.55106275862068965</v>
      </c>
      <c r="AL146" s="112">
        <f t="shared" ca="1" si="309"/>
        <v>0.4787327586206897</v>
      </c>
      <c r="AM146" s="112">
        <f t="shared" ca="1" si="310"/>
        <v>0.57698275862068971</v>
      </c>
      <c r="AN146" s="113">
        <f t="shared" ca="1" si="311"/>
        <v>0.16734131825082652</v>
      </c>
      <c r="AO146" s="113">
        <f t="shared" ca="1" si="312"/>
        <v>0.19208281304904368</v>
      </c>
      <c r="AP146" s="113">
        <f t="shared" ca="1" si="313"/>
        <v>0.10971839322058424</v>
      </c>
      <c r="AQ146" s="125">
        <f t="shared" ca="1" si="314"/>
        <v>0.16135049905744692</v>
      </c>
      <c r="AR146" s="113">
        <f t="shared" ca="1" si="315"/>
        <v>0.19208281304904368</v>
      </c>
      <c r="AS146" s="112">
        <f t="shared" ca="1" si="316"/>
        <v>9.0506702567659941E-2</v>
      </c>
      <c r="AT146" s="159"/>
      <c r="AU146" s="107" t="e">
        <f t="shared" ca="1" si="317"/>
        <v>#N/A</v>
      </c>
      <c r="AV146" s="107" t="e">
        <f t="shared" ca="1" si="318"/>
        <v>#N/A</v>
      </c>
      <c r="AW146" s="107" t="e">
        <f t="shared" ca="1" si="319"/>
        <v>#N/A</v>
      </c>
      <c r="AX146" s="107" t="e">
        <f t="shared" ca="1" si="320"/>
        <v>#N/A</v>
      </c>
      <c r="AY146" s="107" t="e">
        <f t="shared" ca="1" si="321"/>
        <v>#N/A</v>
      </c>
      <c r="AZ146" s="107" t="e">
        <f t="shared" ca="1" si="322"/>
        <v>#N/A</v>
      </c>
      <c r="BA146" s="107" t="e">
        <f t="shared" ca="1" si="323"/>
        <v>#N/A</v>
      </c>
      <c r="BB146" s="107" t="e">
        <f t="shared" ca="1" si="324"/>
        <v>#N/A</v>
      </c>
      <c r="BC146" s="107" t="e">
        <f t="shared" ca="1" si="325"/>
        <v>#N/A</v>
      </c>
      <c r="BE146" s="112" t="e">
        <f t="shared" ca="1" si="326"/>
        <v>#N/A</v>
      </c>
      <c r="BF146" s="112" t="e">
        <f t="shared" ca="1" si="327"/>
        <v>#N/A</v>
      </c>
      <c r="BG146" s="112" t="e">
        <f t="shared" ca="1" si="328"/>
        <v>#N/A</v>
      </c>
      <c r="BH146" s="111"/>
      <c r="BI146" s="112">
        <f t="shared" si="329"/>
        <v>50.93</v>
      </c>
      <c r="BJ146" s="112">
        <f t="shared" si="330"/>
        <v>-12.96</v>
      </c>
      <c r="BK146" s="112">
        <f t="shared" si="331"/>
        <v>19.649999999999999</v>
      </c>
      <c r="BL146" s="107"/>
      <c r="BM146" s="113">
        <f t="shared" si="332"/>
        <v>0.55106275862068965</v>
      </c>
      <c r="BN146" s="112">
        <f t="shared" si="333"/>
        <v>0.4787327586206897</v>
      </c>
      <c r="BO146" s="112">
        <f t="shared" si="334"/>
        <v>0.57698275862068971</v>
      </c>
      <c r="BP146" s="113">
        <f t="shared" si="302"/>
        <v>0.16734131825082652</v>
      </c>
      <c r="BQ146" s="113">
        <f t="shared" si="335"/>
        <v>0.19208281304904368</v>
      </c>
      <c r="BR146" s="113">
        <f t="shared" si="303"/>
        <v>0.10971839322058424</v>
      </c>
      <c r="BS146" s="125">
        <f t="shared" si="304"/>
        <v>0.16135049905744692</v>
      </c>
      <c r="BT146" s="113">
        <f t="shared" si="305"/>
        <v>0.19208281304904368</v>
      </c>
      <c r="BU146" s="112">
        <f t="shared" si="306"/>
        <v>9.0506702567659941E-2</v>
      </c>
      <c r="BV146" s="255"/>
      <c r="BZ146" s="112"/>
      <c r="CA146" s="112"/>
      <c r="CB146" s="112"/>
      <c r="CC146" s="112"/>
      <c r="DG146" s="107"/>
      <c r="DH146" s="107"/>
      <c r="DI146" s="107"/>
      <c r="DJ146" s="107"/>
    </row>
    <row r="147" spans="2:114">
      <c r="B147" s="7"/>
      <c r="C147" s="7"/>
      <c r="D147" s="7"/>
      <c r="E147" s="7"/>
      <c r="F147" s="7"/>
      <c r="G147" s="7"/>
      <c r="H147" s="7"/>
      <c r="I147" s="7"/>
      <c r="J147" s="7"/>
      <c r="K147" s="7"/>
      <c r="L147" s="7"/>
      <c r="R147" s="64"/>
      <c r="S147" s="64"/>
      <c r="T147" s="64"/>
      <c r="U147" s="64"/>
      <c r="V147" s="64"/>
      <c r="W147" s="64"/>
      <c r="X147" s="64"/>
      <c r="Y147" s="64"/>
      <c r="Z147" s="64"/>
      <c r="AA147" s="64"/>
      <c r="AB147" s="64"/>
      <c r="AC147" s="64"/>
      <c r="AD147" s="64"/>
      <c r="AE147" s="134"/>
      <c r="AF147" s="134"/>
      <c r="AG147" s="127">
        <f t="shared" ca="1" si="336"/>
        <v>86.21</v>
      </c>
      <c r="AH147" s="127">
        <f t="shared" ca="1" si="336"/>
        <v>-0.79</v>
      </c>
      <c r="AI147" s="127">
        <f t="shared" ca="1" si="336"/>
        <v>11.08</v>
      </c>
      <c r="AJ147" s="109">
        <v>43</v>
      </c>
      <c r="AK147" s="113">
        <f t="shared" ca="1" si="308"/>
        <v>0.87954068965517229</v>
      </c>
      <c r="AL147" s="112">
        <f t="shared" ca="1" si="309"/>
        <v>0.82572068965517231</v>
      </c>
      <c r="AM147" s="112">
        <f t="shared" ca="1" si="310"/>
        <v>0.88112068965517232</v>
      </c>
      <c r="AN147" s="113">
        <f t="shared" ca="1" si="311"/>
        <v>0.68040548706021853</v>
      </c>
      <c r="AO147" s="113">
        <f t="shared" ca="1" si="312"/>
        <v>0.68407890331002175</v>
      </c>
      <c r="AP147" s="113">
        <f t="shared" ca="1" si="313"/>
        <v>0.56298846906308475</v>
      </c>
      <c r="AQ147" s="125">
        <f t="shared" ca="1" si="314"/>
        <v>0.65604697062346262</v>
      </c>
      <c r="AR147" s="113">
        <f t="shared" ca="1" si="315"/>
        <v>0.68407890331002175</v>
      </c>
      <c r="AS147" s="112">
        <f t="shared" ca="1" si="316"/>
        <v>0.46440918813013859</v>
      </c>
      <c r="AT147" s="159"/>
      <c r="AU147" s="107" t="e">
        <f t="shared" ca="1" si="317"/>
        <v>#N/A</v>
      </c>
      <c r="AV147" s="107" t="e">
        <f t="shared" ca="1" si="318"/>
        <v>#N/A</v>
      </c>
      <c r="AW147" s="107" t="e">
        <f t="shared" ca="1" si="319"/>
        <v>#N/A</v>
      </c>
      <c r="AX147" s="107" t="e">
        <f t="shared" ca="1" si="320"/>
        <v>#N/A</v>
      </c>
      <c r="AY147" s="107" t="e">
        <f t="shared" ca="1" si="321"/>
        <v>#N/A</v>
      </c>
      <c r="AZ147" s="107" t="e">
        <f t="shared" ca="1" si="322"/>
        <v>#N/A</v>
      </c>
      <c r="BA147" s="107" t="e">
        <f t="shared" ca="1" si="323"/>
        <v>#N/A</v>
      </c>
      <c r="BB147" s="107" t="e">
        <f t="shared" ca="1" si="324"/>
        <v>#N/A</v>
      </c>
      <c r="BC147" s="107" t="e">
        <f t="shared" ca="1" si="325"/>
        <v>#N/A</v>
      </c>
      <c r="BE147" s="112" t="e">
        <f t="shared" ca="1" si="326"/>
        <v>#N/A</v>
      </c>
      <c r="BF147" s="112" t="e">
        <f t="shared" ca="1" si="327"/>
        <v>#N/A</v>
      </c>
      <c r="BG147" s="112" t="e">
        <f t="shared" ca="1" si="328"/>
        <v>#N/A</v>
      </c>
      <c r="BH147" s="111"/>
      <c r="BI147" s="112">
        <f t="shared" si="329"/>
        <v>86.21</v>
      </c>
      <c r="BJ147" s="112">
        <f t="shared" si="330"/>
        <v>-0.79</v>
      </c>
      <c r="BK147" s="112">
        <f t="shared" si="331"/>
        <v>11.08</v>
      </c>
      <c r="BL147" s="107"/>
      <c r="BM147" s="113">
        <f t="shared" si="332"/>
        <v>0.87954068965517229</v>
      </c>
      <c r="BN147" s="112">
        <f t="shared" si="333"/>
        <v>0.82572068965517231</v>
      </c>
      <c r="BO147" s="112">
        <f t="shared" si="334"/>
        <v>0.88112068965517232</v>
      </c>
      <c r="BP147" s="113">
        <f t="shared" si="302"/>
        <v>0.68040548706021853</v>
      </c>
      <c r="BQ147" s="113">
        <f t="shared" si="335"/>
        <v>0.68407890331002175</v>
      </c>
      <c r="BR147" s="113">
        <f t="shared" si="303"/>
        <v>0.56298846906308475</v>
      </c>
      <c r="BS147" s="125">
        <f t="shared" si="304"/>
        <v>0.65604697062346262</v>
      </c>
      <c r="BT147" s="113">
        <f t="shared" si="305"/>
        <v>0.68407890331002175</v>
      </c>
      <c r="BU147" s="112">
        <f t="shared" si="306"/>
        <v>0.46440918813013859</v>
      </c>
      <c r="BV147" s="255"/>
      <c r="BZ147" s="112"/>
      <c r="CA147" s="112"/>
      <c r="CB147" s="112"/>
      <c r="CC147" s="112"/>
      <c r="DG147" s="107"/>
      <c r="DH147" s="107"/>
      <c r="DI147" s="107"/>
      <c r="DJ147" s="107"/>
    </row>
    <row r="148" spans="2:114">
      <c r="B148" s="7"/>
      <c r="C148" s="7"/>
      <c r="D148" s="7"/>
      <c r="E148" s="7"/>
      <c r="F148" s="7"/>
      <c r="G148" s="7"/>
      <c r="H148" s="7"/>
      <c r="I148" s="7"/>
      <c r="J148" s="7"/>
      <c r="K148" s="7"/>
      <c r="L148" s="7"/>
      <c r="R148" s="64"/>
      <c r="S148" s="64"/>
      <c r="T148" s="64"/>
      <c r="U148" s="64"/>
      <c r="V148" s="64"/>
      <c r="W148" s="64"/>
      <c r="X148" s="64"/>
      <c r="Y148" s="64"/>
      <c r="Z148" s="64"/>
      <c r="AA148" s="64"/>
      <c r="AB148" s="64"/>
      <c r="AC148" s="64"/>
      <c r="AD148" s="64"/>
      <c r="AE148" s="134"/>
      <c r="AF148" s="134"/>
      <c r="AG148" s="127">
        <f t="shared" ca="1" si="336"/>
        <v>76.34</v>
      </c>
      <c r="AH148" s="127">
        <f t="shared" ca="1" si="336"/>
        <v>-11.32</v>
      </c>
      <c r="AI148" s="127">
        <f t="shared" ca="1" si="336"/>
        <v>10.18</v>
      </c>
      <c r="AJ148" s="109">
        <v>44</v>
      </c>
      <c r="AK148" s="113">
        <f t="shared" ca="1" si="308"/>
        <v>0.77339448275862077</v>
      </c>
      <c r="AL148" s="112">
        <f t="shared" ca="1" si="309"/>
        <v>0.74513448275862082</v>
      </c>
      <c r="AM148" s="112">
        <f t="shared" ca="1" si="310"/>
        <v>0.79603448275862076</v>
      </c>
      <c r="AN148" s="113">
        <f t="shared" ca="1" si="311"/>
        <v>0.46259742260121989</v>
      </c>
      <c r="AO148" s="113">
        <f t="shared" ca="1" si="312"/>
        <v>0.50442388532227656</v>
      </c>
      <c r="AP148" s="113">
        <f t="shared" ca="1" si="313"/>
        <v>0.41371758930308644</v>
      </c>
      <c r="AQ148" s="125">
        <f t="shared" ca="1" si="314"/>
        <v>0.44603643487209621</v>
      </c>
      <c r="AR148" s="113">
        <f t="shared" ca="1" si="315"/>
        <v>0.50442388532227656</v>
      </c>
      <c r="AS148" s="112">
        <f t="shared" ca="1" si="316"/>
        <v>0.34127563941611599</v>
      </c>
      <c r="AT148" s="159"/>
      <c r="AU148" s="107" t="e">
        <f t="shared" ca="1" si="317"/>
        <v>#N/A</v>
      </c>
      <c r="AV148" s="107" t="e">
        <f t="shared" ca="1" si="318"/>
        <v>#N/A</v>
      </c>
      <c r="AW148" s="107" t="e">
        <f t="shared" ca="1" si="319"/>
        <v>#N/A</v>
      </c>
      <c r="AX148" s="107" t="e">
        <f t="shared" ca="1" si="320"/>
        <v>#N/A</v>
      </c>
      <c r="AY148" s="107" t="e">
        <f t="shared" ca="1" si="321"/>
        <v>#N/A</v>
      </c>
      <c r="AZ148" s="107" t="e">
        <f t="shared" ca="1" si="322"/>
        <v>#N/A</v>
      </c>
      <c r="BA148" s="107" t="e">
        <f t="shared" ca="1" si="323"/>
        <v>#N/A</v>
      </c>
      <c r="BB148" s="107" t="e">
        <f t="shared" ca="1" si="324"/>
        <v>#N/A</v>
      </c>
      <c r="BC148" s="107" t="e">
        <f t="shared" ca="1" si="325"/>
        <v>#N/A</v>
      </c>
      <c r="BE148" s="112" t="e">
        <f t="shared" ca="1" si="326"/>
        <v>#N/A</v>
      </c>
      <c r="BF148" s="112" t="e">
        <f t="shared" ca="1" si="327"/>
        <v>#N/A</v>
      </c>
      <c r="BG148" s="112" t="e">
        <f t="shared" ca="1" si="328"/>
        <v>#N/A</v>
      </c>
      <c r="BH148" s="111"/>
      <c r="BI148" s="112">
        <f t="shared" si="329"/>
        <v>76.34</v>
      </c>
      <c r="BJ148" s="112">
        <f t="shared" si="330"/>
        <v>-11.32</v>
      </c>
      <c r="BK148" s="112">
        <f t="shared" si="331"/>
        <v>10.18</v>
      </c>
      <c r="BL148" s="107"/>
      <c r="BM148" s="113">
        <f t="shared" si="332"/>
        <v>0.77339448275862077</v>
      </c>
      <c r="BN148" s="112">
        <f t="shared" si="333"/>
        <v>0.74513448275862082</v>
      </c>
      <c r="BO148" s="112">
        <f t="shared" si="334"/>
        <v>0.79603448275862076</v>
      </c>
      <c r="BP148" s="113">
        <f t="shared" si="302"/>
        <v>0.46259742260121989</v>
      </c>
      <c r="BQ148" s="113">
        <f t="shared" si="335"/>
        <v>0.50442388532227656</v>
      </c>
      <c r="BR148" s="113">
        <f t="shared" si="303"/>
        <v>0.41371758930308644</v>
      </c>
      <c r="BS148" s="125">
        <f t="shared" si="304"/>
        <v>0.44603643487209621</v>
      </c>
      <c r="BT148" s="113">
        <f t="shared" si="305"/>
        <v>0.50442388532227656</v>
      </c>
      <c r="BU148" s="112">
        <f t="shared" si="306"/>
        <v>0.34127563941611599</v>
      </c>
      <c r="BV148" s="255"/>
      <c r="BZ148" s="112"/>
      <c r="CA148" s="112"/>
      <c r="CB148" s="112"/>
      <c r="CC148" s="112"/>
      <c r="DG148" s="107"/>
      <c r="DH148" s="107"/>
      <c r="DI148" s="107"/>
      <c r="DJ148" s="107"/>
    </row>
    <row r="149" spans="2:114">
      <c r="B149" s="7"/>
      <c r="C149" s="7"/>
      <c r="D149" s="7"/>
      <c r="E149" s="7"/>
      <c r="F149" s="7"/>
      <c r="G149" s="7"/>
      <c r="H149" s="7"/>
      <c r="I149" s="7"/>
      <c r="J149" s="7"/>
      <c r="K149" s="7"/>
      <c r="L149" s="7"/>
      <c r="R149" s="64"/>
      <c r="S149" s="64"/>
      <c r="T149" s="64"/>
      <c r="U149" s="64"/>
      <c r="V149" s="64"/>
      <c r="W149" s="64"/>
      <c r="X149" s="64"/>
      <c r="Y149" s="64"/>
      <c r="Z149" s="64"/>
      <c r="AA149" s="64"/>
      <c r="AB149" s="64"/>
      <c r="AC149" s="64"/>
      <c r="AD149" s="64"/>
      <c r="AE149" s="134"/>
      <c r="AF149" s="134"/>
      <c r="AG149" s="127">
        <f t="shared" ca="1" si="336"/>
        <v>46.36</v>
      </c>
      <c r="AH149" s="127">
        <f t="shared" ca="1" si="336"/>
        <v>-18.03</v>
      </c>
      <c r="AI149" s="127">
        <f t="shared" ca="1" si="336"/>
        <v>0.12</v>
      </c>
      <c r="AJ149" s="109">
        <v>45</v>
      </c>
      <c r="AK149" s="113">
        <f t="shared" ca="1" si="308"/>
        <v>0.5015262068965517</v>
      </c>
      <c r="AL149" s="112">
        <f t="shared" ca="1" si="309"/>
        <v>0.53698620689655163</v>
      </c>
      <c r="AM149" s="112">
        <f t="shared" ca="1" si="310"/>
        <v>0.53758620689655168</v>
      </c>
      <c r="AN149" s="113">
        <f t="shared" ca="1" si="311"/>
        <v>0.12614815268865553</v>
      </c>
      <c r="AO149" s="113">
        <f t="shared" ca="1" si="312"/>
        <v>0.15536183849276311</v>
      </c>
      <c r="AP149" s="113">
        <f t="shared" ca="1" si="313"/>
        <v>0.15484222079614474</v>
      </c>
      <c r="AQ149" s="125">
        <f t="shared" ca="1" si="314"/>
        <v>0.12163204882240165</v>
      </c>
      <c r="AR149" s="113">
        <f t="shared" ca="1" si="315"/>
        <v>0.15536183849276311</v>
      </c>
      <c r="AS149" s="112">
        <f t="shared" ca="1" si="316"/>
        <v>0.12772934793473978</v>
      </c>
      <c r="AT149" s="159"/>
      <c r="AU149" s="107" t="e">
        <f t="shared" ca="1" si="317"/>
        <v>#N/A</v>
      </c>
      <c r="AV149" s="107" t="e">
        <f t="shared" ca="1" si="318"/>
        <v>#N/A</v>
      </c>
      <c r="AW149" s="107" t="e">
        <f t="shared" ca="1" si="319"/>
        <v>#N/A</v>
      </c>
      <c r="AX149" s="107" t="e">
        <f t="shared" ca="1" si="320"/>
        <v>#N/A</v>
      </c>
      <c r="AY149" s="107" t="e">
        <f t="shared" ca="1" si="321"/>
        <v>#N/A</v>
      </c>
      <c r="AZ149" s="107" t="e">
        <f t="shared" ca="1" si="322"/>
        <v>#N/A</v>
      </c>
      <c r="BA149" s="107" t="e">
        <f t="shared" ca="1" si="323"/>
        <v>#N/A</v>
      </c>
      <c r="BB149" s="107" t="e">
        <f t="shared" ca="1" si="324"/>
        <v>#N/A</v>
      </c>
      <c r="BC149" s="107" t="e">
        <f t="shared" ca="1" si="325"/>
        <v>#N/A</v>
      </c>
      <c r="BE149" s="112" t="e">
        <f t="shared" ca="1" si="326"/>
        <v>#N/A</v>
      </c>
      <c r="BF149" s="112" t="e">
        <f t="shared" ca="1" si="327"/>
        <v>#N/A</v>
      </c>
      <c r="BG149" s="112" t="e">
        <f t="shared" ca="1" si="328"/>
        <v>#N/A</v>
      </c>
      <c r="BH149" s="111"/>
      <c r="BI149" s="112">
        <f t="shared" si="329"/>
        <v>46.36</v>
      </c>
      <c r="BJ149" s="112">
        <f t="shared" si="330"/>
        <v>-18.03</v>
      </c>
      <c r="BK149" s="112">
        <f t="shared" si="331"/>
        <v>0.12</v>
      </c>
      <c r="BL149" s="107"/>
      <c r="BM149" s="113">
        <f t="shared" si="332"/>
        <v>0.5015262068965517</v>
      </c>
      <c r="BN149" s="112">
        <f t="shared" si="333"/>
        <v>0.53698620689655163</v>
      </c>
      <c r="BO149" s="112">
        <f t="shared" si="334"/>
        <v>0.53758620689655168</v>
      </c>
      <c r="BP149" s="113">
        <f t="shared" si="302"/>
        <v>0.12614815268865553</v>
      </c>
      <c r="BQ149" s="113">
        <f t="shared" si="335"/>
        <v>0.15536183849276311</v>
      </c>
      <c r="BR149" s="113">
        <f t="shared" si="303"/>
        <v>0.15484222079614474</v>
      </c>
      <c r="BS149" s="125">
        <f t="shared" si="304"/>
        <v>0.12163204882240165</v>
      </c>
      <c r="BT149" s="113">
        <f t="shared" si="305"/>
        <v>0.15536183849276311</v>
      </c>
      <c r="BU149" s="112">
        <f t="shared" si="306"/>
        <v>0.12772934793473978</v>
      </c>
      <c r="BV149" s="255"/>
      <c r="BZ149" s="112"/>
      <c r="CA149" s="112"/>
      <c r="CB149" s="112"/>
      <c r="CC149" s="112"/>
      <c r="DG149" s="107"/>
      <c r="DH149" s="107"/>
      <c r="DI149" s="107"/>
      <c r="DJ149" s="107"/>
    </row>
    <row r="150" spans="2:114">
      <c r="B150" s="7"/>
      <c r="C150" s="7"/>
      <c r="D150" s="7"/>
      <c r="E150" s="7"/>
      <c r="F150" s="7"/>
      <c r="G150" s="7"/>
      <c r="H150" s="7"/>
      <c r="I150" s="7"/>
      <c r="J150" s="7"/>
      <c r="K150" s="7"/>
      <c r="L150" s="7"/>
      <c r="R150" s="64"/>
      <c r="S150" s="64"/>
      <c r="T150" s="64"/>
      <c r="U150" s="64"/>
      <c r="V150" s="64"/>
      <c r="W150" s="64"/>
      <c r="X150" s="64"/>
      <c r="Y150" s="64"/>
      <c r="Z150" s="64"/>
      <c r="AA150" s="64"/>
      <c r="AB150" s="64"/>
      <c r="AC150" s="64"/>
      <c r="AD150" s="64"/>
      <c r="AE150" s="134"/>
      <c r="AF150" s="134"/>
      <c r="AG150" s="127">
        <f t="shared" ca="1" si="336"/>
        <v>22.03</v>
      </c>
      <c r="AH150" s="127">
        <f t="shared" ca="1" si="336"/>
        <v>0.8</v>
      </c>
      <c r="AI150" s="127">
        <f t="shared" ca="1" si="336"/>
        <v>1.26</v>
      </c>
      <c r="AJ150" s="109">
        <v>46</v>
      </c>
      <c r="AK150" s="113">
        <f t="shared" ca="1" si="308"/>
        <v>0.32944482758620691</v>
      </c>
      <c r="AL150" s="112">
        <f t="shared" ca="1" si="309"/>
        <v>0.32154482758620695</v>
      </c>
      <c r="AM150" s="112">
        <f t="shared" ca="1" si="310"/>
        <v>0.32784482758620692</v>
      </c>
      <c r="AN150" s="113">
        <f t="shared" ca="1" si="311"/>
        <v>3.5755930135545497E-2</v>
      </c>
      <c r="AO150" s="113">
        <f t="shared" ca="1" si="312"/>
        <v>3.5237493482589498E-2</v>
      </c>
      <c r="AP150" s="113">
        <f t="shared" ca="1" si="313"/>
        <v>3.3244865753782132E-2</v>
      </c>
      <c r="AQ150" s="125">
        <f t="shared" ca="1" si="314"/>
        <v>3.4475867836692965E-2</v>
      </c>
      <c r="AR150" s="113">
        <f t="shared" ca="1" si="315"/>
        <v>3.5237493482589498E-2</v>
      </c>
      <c r="AS150" s="112">
        <f t="shared" ca="1" si="316"/>
        <v>2.742368976029488E-2</v>
      </c>
      <c r="AT150" s="159"/>
      <c r="AU150" s="107" t="e">
        <f t="shared" ca="1" si="317"/>
        <v>#N/A</v>
      </c>
      <c r="AV150" s="107" t="e">
        <f t="shared" ca="1" si="318"/>
        <v>#N/A</v>
      </c>
      <c r="AW150" s="107" t="e">
        <f t="shared" ca="1" si="319"/>
        <v>#N/A</v>
      </c>
      <c r="AX150" s="107" t="e">
        <f t="shared" ca="1" si="320"/>
        <v>#N/A</v>
      </c>
      <c r="AY150" s="107" t="e">
        <f t="shared" ca="1" si="321"/>
        <v>#N/A</v>
      </c>
      <c r="AZ150" s="107" t="e">
        <f t="shared" ca="1" si="322"/>
        <v>#N/A</v>
      </c>
      <c r="BA150" s="107" t="e">
        <f t="shared" ca="1" si="323"/>
        <v>#N/A</v>
      </c>
      <c r="BB150" s="107" t="e">
        <f t="shared" ca="1" si="324"/>
        <v>#N/A</v>
      </c>
      <c r="BC150" s="107" t="e">
        <f t="shared" ca="1" si="325"/>
        <v>#N/A</v>
      </c>
      <c r="BE150" s="112" t="e">
        <f t="shared" ca="1" si="326"/>
        <v>#N/A</v>
      </c>
      <c r="BF150" s="112" t="e">
        <f t="shared" ca="1" si="327"/>
        <v>#N/A</v>
      </c>
      <c r="BG150" s="112" t="e">
        <f t="shared" ca="1" si="328"/>
        <v>#N/A</v>
      </c>
      <c r="BH150" s="111"/>
      <c r="BI150" s="112">
        <f t="shared" si="329"/>
        <v>22.03</v>
      </c>
      <c r="BJ150" s="112">
        <f t="shared" si="330"/>
        <v>0.8</v>
      </c>
      <c r="BK150" s="112">
        <f t="shared" si="331"/>
        <v>1.26</v>
      </c>
      <c r="BL150" s="107"/>
      <c r="BM150" s="113">
        <f t="shared" si="332"/>
        <v>0.32944482758620691</v>
      </c>
      <c r="BN150" s="112">
        <f t="shared" si="333"/>
        <v>0.32154482758620695</v>
      </c>
      <c r="BO150" s="112">
        <f t="shared" si="334"/>
        <v>0.32784482758620692</v>
      </c>
      <c r="BP150" s="113">
        <f t="shared" si="302"/>
        <v>3.5755930135545497E-2</v>
      </c>
      <c r="BQ150" s="113">
        <f t="shared" si="335"/>
        <v>3.5237493482589498E-2</v>
      </c>
      <c r="BR150" s="113">
        <f t="shared" si="303"/>
        <v>3.3244865753782132E-2</v>
      </c>
      <c r="BS150" s="125">
        <f t="shared" si="304"/>
        <v>3.4475867836692965E-2</v>
      </c>
      <c r="BT150" s="113">
        <f t="shared" si="305"/>
        <v>3.5237493482589498E-2</v>
      </c>
      <c r="BU150" s="112">
        <f t="shared" si="306"/>
        <v>2.742368976029488E-2</v>
      </c>
      <c r="BV150" s="255"/>
      <c r="BZ150" s="112"/>
      <c r="CA150" s="112"/>
      <c r="CB150" s="112"/>
      <c r="CC150" s="112"/>
      <c r="DG150" s="107"/>
      <c r="DH150" s="107"/>
      <c r="DI150" s="107"/>
      <c r="DJ150" s="107"/>
    </row>
    <row r="151" spans="2:114">
      <c r="B151" s="7"/>
      <c r="C151" s="7"/>
      <c r="D151" s="7"/>
      <c r="E151" s="7"/>
      <c r="F151" s="7"/>
      <c r="G151" s="7"/>
      <c r="H151" s="7"/>
      <c r="I151" s="7"/>
      <c r="J151" s="7"/>
      <c r="K151" s="7"/>
      <c r="L151" s="7"/>
      <c r="R151" s="64"/>
      <c r="S151" s="64"/>
      <c r="T151" s="64"/>
      <c r="U151" s="64"/>
      <c r="V151" s="64"/>
      <c r="W151" s="64"/>
      <c r="X151" s="64"/>
      <c r="Y151" s="64"/>
      <c r="Z151" s="64"/>
      <c r="AA151" s="64"/>
      <c r="AB151" s="64"/>
      <c r="AC151" s="64"/>
      <c r="AD151" s="64"/>
      <c r="AE151" s="134"/>
      <c r="AF151" s="134"/>
      <c r="AG151" s="127">
        <f t="shared" ca="1" si="336"/>
        <v>87</v>
      </c>
      <c r="AH151" s="127">
        <f t="shared" ca="1" si="336"/>
        <v>0</v>
      </c>
      <c r="AI151" s="127">
        <f t="shared" ca="1" si="336"/>
        <v>3</v>
      </c>
      <c r="AJ151" s="109">
        <v>47</v>
      </c>
      <c r="AK151" s="113">
        <f t="shared" ca="1" si="308"/>
        <v>0.88793103448275867</v>
      </c>
      <c r="AL151" s="112">
        <f t="shared" ca="1" si="309"/>
        <v>0.87293103448275866</v>
      </c>
      <c r="AM151" s="112">
        <f t="shared" ca="1" si="310"/>
        <v>0.88793103448275867</v>
      </c>
      <c r="AN151" s="113">
        <f t="shared" ca="1" si="311"/>
        <v>0.70006393763581953</v>
      </c>
      <c r="AO151" s="113">
        <f t="shared" ca="1" si="312"/>
        <v>0.70006393763581953</v>
      </c>
      <c r="AP151" s="113">
        <f t="shared" ca="1" si="313"/>
        <v>0.66518094759420243</v>
      </c>
      <c r="AQ151" s="125">
        <f t="shared" ca="1" si="314"/>
        <v>0.67500164866845713</v>
      </c>
      <c r="AR151" s="113">
        <f t="shared" ca="1" si="315"/>
        <v>0.70006393763581953</v>
      </c>
      <c r="AS151" s="112">
        <f t="shared" ca="1" si="316"/>
        <v>0.54870776367045759</v>
      </c>
      <c r="AT151" s="159"/>
      <c r="AU151" s="107" t="e">
        <f t="shared" ca="1" si="317"/>
        <v>#N/A</v>
      </c>
      <c r="AV151" s="107" t="e">
        <f t="shared" ca="1" si="318"/>
        <v>#N/A</v>
      </c>
      <c r="AW151" s="107" t="e">
        <f t="shared" ca="1" si="319"/>
        <v>#N/A</v>
      </c>
      <c r="AX151" s="107" t="e">
        <f t="shared" ca="1" si="320"/>
        <v>#N/A</v>
      </c>
      <c r="AY151" s="107" t="e">
        <f t="shared" ca="1" si="321"/>
        <v>#N/A</v>
      </c>
      <c r="AZ151" s="107" t="e">
        <f t="shared" ca="1" si="322"/>
        <v>#N/A</v>
      </c>
      <c r="BA151" s="107" t="e">
        <f t="shared" ca="1" si="323"/>
        <v>#N/A</v>
      </c>
      <c r="BB151" s="107" t="e">
        <f t="shared" ca="1" si="324"/>
        <v>#N/A</v>
      </c>
      <c r="BC151" s="107" t="e">
        <f t="shared" ca="1" si="325"/>
        <v>#N/A</v>
      </c>
      <c r="BE151" s="112" t="e">
        <f t="shared" ca="1" si="326"/>
        <v>#N/A</v>
      </c>
      <c r="BF151" s="112" t="e">
        <f t="shared" ca="1" si="327"/>
        <v>#N/A</v>
      </c>
      <c r="BG151" s="112" t="e">
        <f t="shared" ca="1" si="328"/>
        <v>#N/A</v>
      </c>
      <c r="BH151" s="111"/>
      <c r="BI151" s="112">
        <f t="shared" si="329"/>
        <v>87</v>
      </c>
      <c r="BJ151" s="112">
        <f t="shared" si="330"/>
        <v>0</v>
      </c>
      <c r="BK151" s="112">
        <f t="shared" si="331"/>
        <v>3</v>
      </c>
      <c r="BL151" s="107"/>
      <c r="BM151" s="113">
        <f t="shared" si="332"/>
        <v>0.88793103448275867</v>
      </c>
      <c r="BN151" s="112">
        <f t="shared" si="333"/>
        <v>0.87293103448275866</v>
      </c>
      <c r="BO151" s="112">
        <f t="shared" si="334"/>
        <v>0.88793103448275867</v>
      </c>
      <c r="BP151" s="113">
        <f t="shared" si="302"/>
        <v>0.70006393763581953</v>
      </c>
      <c r="BQ151" s="113">
        <f t="shared" si="335"/>
        <v>0.70006393763581953</v>
      </c>
      <c r="BR151" s="113">
        <f t="shared" si="303"/>
        <v>0.66518094759420243</v>
      </c>
      <c r="BS151" s="125">
        <f t="shared" si="304"/>
        <v>0.67500164866845713</v>
      </c>
      <c r="BT151" s="113">
        <f t="shared" si="305"/>
        <v>0.70006393763581953</v>
      </c>
      <c r="BU151" s="112">
        <f t="shared" si="306"/>
        <v>0.54870776367045759</v>
      </c>
      <c r="BV151" s="255"/>
      <c r="BZ151" s="112"/>
      <c r="CA151" s="112"/>
      <c r="CB151" s="112"/>
      <c r="CC151" s="112"/>
      <c r="DG151" s="107"/>
      <c r="DH151" s="107"/>
      <c r="DI151" s="107"/>
      <c r="DJ151" s="107"/>
    </row>
    <row r="152" spans="2:114">
      <c r="B152" s="7"/>
      <c r="C152" s="7"/>
      <c r="D152" s="7"/>
      <c r="E152" s="7"/>
      <c r="F152" s="7"/>
      <c r="G152" s="7"/>
      <c r="H152" s="7"/>
      <c r="I152" s="7"/>
      <c r="J152" s="7"/>
      <c r="K152" s="7"/>
      <c r="L152" s="7"/>
      <c r="M152" s="7"/>
      <c r="N152" s="7"/>
      <c r="O152" s="7"/>
      <c r="P152" s="7"/>
      <c r="Q152" s="7"/>
      <c r="R152" s="64"/>
      <c r="S152" s="64"/>
      <c r="T152" s="64"/>
      <c r="U152" s="64"/>
      <c r="V152" s="64"/>
      <c r="W152" s="64"/>
      <c r="X152" s="64"/>
      <c r="Y152" s="64"/>
      <c r="Z152" s="64"/>
      <c r="AA152" s="64"/>
      <c r="AB152" s="64"/>
      <c r="AC152" s="64"/>
      <c r="AD152" s="64"/>
      <c r="AE152" s="134"/>
      <c r="AF152" s="134"/>
      <c r="AG152" s="127">
        <f t="shared" ca="1" si="336"/>
        <v>49.68</v>
      </c>
      <c r="AH152" s="127">
        <f t="shared" ca="1" si="336"/>
        <v>-8.26</v>
      </c>
      <c r="AI152" s="127">
        <f t="shared" ca="1" si="336"/>
        <v>-5.3</v>
      </c>
      <c r="AJ152" s="109">
        <v>48</v>
      </c>
      <c r="AK152" s="113">
        <f t="shared" ca="1" si="308"/>
        <v>0.5496868965517242</v>
      </c>
      <c r="AL152" s="112">
        <f t="shared" ca="1" si="309"/>
        <v>0.59270689655172415</v>
      </c>
      <c r="AM152" s="112">
        <f t="shared" ca="1" si="310"/>
        <v>0.56620689655172418</v>
      </c>
      <c r="AN152" s="113">
        <f t="shared" ca="1" si="311"/>
        <v>0.16609102034571441</v>
      </c>
      <c r="AO152" s="113">
        <f t="shared" ca="1" si="312"/>
        <v>0.18152041034892782</v>
      </c>
      <c r="AP152" s="113">
        <f t="shared" ca="1" si="313"/>
        <v>0.20821880120460556</v>
      </c>
      <c r="AQ152" s="125">
        <f t="shared" ca="1" si="314"/>
        <v>0.16014496181733781</v>
      </c>
      <c r="AR152" s="113">
        <f t="shared" ca="1" si="315"/>
        <v>0.18152041034892782</v>
      </c>
      <c r="AS152" s="112">
        <f t="shared" ca="1" si="316"/>
        <v>0.17175968911367911</v>
      </c>
      <c r="AT152" s="159"/>
      <c r="AU152" s="107" t="e">
        <f t="shared" ca="1" si="317"/>
        <v>#N/A</v>
      </c>
      <c r="AV152" s="107" t="e">
        <f t="shared" ca="1" si="318"/>
        <v>#N/A</v>
      </c>
      <c r="AW152" s="107" t="e">
        <f t="shared" ca="1" si="319"/>
        <v>#N/A</v>
      </c>
      <c r="AX152" s="107" t="e">
        <f t="shared" ca="1" si="320"/>
        <v>#N/A</v>
      </c>
      <c r="AY152" s="107" t="e">
        <f t="shared" ca="1" si="321"/>
        <v>#N/A</v>
      </c>
      <c r="AZ152" s="107" t="e">
        <f t="shared" ca="1" si="322"/>
        <v>#N/A</v>
      </c>
      <c r="BA152" s="107" t="e">
        <f t="shared" ca="1" si="323"/>
        <v>#N/A</v>
      </c>
      <c r="BB152" s="107" t="e">
        <f t="shared" ca="1" si="324"/>
        <v>#N/A</v>
      </c>
      <c r="BC152" s="107" t="e">
        <f t="shared" ca="1" si="325"/>
        <v>#N/A</v>
      </c>
      <c r="BE152" s="112" t="e">
        <f t="shared" ca="1" si="326"/>
        <v>#N/A</v>
      </c>
      <c r="BF152" s="112" t="e">
        <f t="shared" ca="1" si="327"/>
        <v>#N/A</v>
      </c>
      <c r="BG152" s="112" t="e">
        <f t="shared" ca="1" si="328"/>
        <v>#N/A</v>
      </c>
      <c r="BH152" s="111"/>
      <c r="BI152" s="112">
        <f t="shared" si="329"/>
        <v>49.68</v>
      </c>
      <c r="BJ152" s="112">
        <f t="shared" si="330"/>
        <v>-8.26</v>
      </c>
      <c r="BK152" s="112">
        <f t="shared" si="331"/>
        <v>-5.3</v>
      </c>
      <c r="BL152" s="107"/>
      <c r="BM152" s="113">
        <f t="shared" si="332"/>
        <v>0.5496868965517242</v>
      </c>
      <c r="BN152" s="112">
        <f t="shared" si="333"/>
        <v>0.59270689655172415</v>
      </c>
      <c r="BO152" s="112">
        <f t="shared" si="334"/>
        <v>0.56620689655172418</v>
      </c>
      <c r="BP152" s="113">
        <f t="shared" si="302"/>
        <v>0.16609102034571441</v>
      </c>
      <c r="BQ152" s="113">
        <f t="shared" si="335"/>
        <v>0.18152041034892782</v>
      </c>
      <c r="BR152" s="113">
        <f t="shared" si="303"/>
        <v>0.20821880120460556</v>
      </c>
      <c r="BS152" s="125">
        <f t="shared" si="304"/>
        <v>0.16014496181733781</v>
      </c>
      <c r="BT152" s="113">
        <f t="shared" si="305"/>
        <v>0.18152041034892782</v>
      </c>
      <c r="BU152" s="112">
        <f t="shared" si="306"/>
        <v>0.17175968911367911</v>
      </c>
      <c r="BV152" s="255"/>
      <c r="BZ152" s="112"/>
      <c r="CA152" s="112"/>
      <c r="CB152" s="112"/>
      <c r="CC152" s="112"/>
      <c r="DG152" s="107"/>
      <c r="DH152" s="107"/>
      <c r="DI152" s="107"/>
      <c r="DJ152" s="107"/>
    </row>
    <row r="153" spans="2:114">
      <c r="B153" s="7"/>
      <c r="C153" s="7"/>
      <c r="D153" s="7"/>
      <c r="E153" s="7"/>
      <c r="F153" s="7"/>
      <c r="G153" s="7"/>
      <c r="H153" s="7"/>
      <c r="I153" s="7"/>
      <c r="J153" s="7"/>
      <c r="K153" s="7"/>
      <c r="L153" s="7"/>
      <c r="M153" s="7"/>
      <c r="N153" s="7"/>
      <c r="O153" s="7"/>
      <c r="P153" s="7"/>
      <c r="Q153" s="7"/>
      <c r="R153" s="64"/>
      <c r="S153" s="64"/>
      <c r="T153" s="64"/>
      <c r="U153" s="64"/>
      <c r="V153" s="64"/>
      <c r="W153" s="64"/>
      <c r="X153" s="64"/>
      <c r="Y153" s="64"/>
      <c r="Z153" s="64"/>
      <c r="AA153" s="64"/>
      <c r="AB153" s="64"/>
      <c r="AC153" s="64"/>
      <c r="AD153" s="64"/>
      <c r="AE153" s="134"/>
      <c r="AF153" s="134"/>
      <c r="AG153" s="127">
        <f t="shared" ca="1" si="336"/>
        <v>84.88</v>
      </c>
      <c r="AH153" s="127">
        <f t="shared" ca="1" si="336"/>
        <v>-0.02</v>
      </c>
      <c r="AI153" s="127">
        <f t="shared" ca="1" si="336"/>
        <v>2.88</v>
      </c>
      <c r="AJ153" s="109">
        <v>49</v>
      </c>
      <c r="AK153" s="113">
        <f t="shared" ca="1" si="308"/>
        <v>0.86961517241379305</v>
      </c>
      <c r="AL153" s="112">
        <f t="shared" ca="1" si="309"/>
        <v>0.85525517241379312</v>
      </c>
      <c r="AM153" s="112">
        <f t="shared" ca="1" si="310"/>
        <v>0.86965517241379309</v>
      </c>
      <c r="AN153" s="113">
        <f t="shared" ca="1" si="311"/>
        <v>0.65762955846383742</v>
      </c>
      <c r="AO153" s="113">
        <f t="shared" ca="1" si="312"/>
        <v>0.65772031030382549</v>
      </c>
      <c r="AP153" s="113">
        <f t="shared" ca="1" si="313"/>
        <v>0.62558615427273867</v>
      </c>
      <c r="AQ153" s="125">
        <f t="shared" ca="1" si="314"/>
        <v>0.63408642027083195</v>
      </c>
      <c r="AR153" s="113">
        <f t="shared" ca="1" si="315"/>
        <v>0.65772031030382549</v>
      </c>
      <c r="AS153" s="112">
        <f t="shared" ca="1" si="316"/>
        <v>0.51604601865958211</v>
      </c>
      <c r="AT153" s="159"/>
      <c r="AU153" s="107" t="e">
        <f t="shared" ca="1" si="317"/>
        <v>#N/A</v>
      </c>
      <c r="AV153" s="107" t="e">
        <f t="shared" ca="1" si="318"/>
        <v>#N/A</v>
      </c>
      <c r="AW153" s="107" t="e">
        <f t="shared" ca="1" si="319"/>
        <v>#N/A</v>
      </c>
      <c r="AX153" s="107" t="e">
        <f t="shared" ca="1" si="320"/>
        <v>#N/A</v>
      </c>
      <c r="AY153" s="107" t="e">
        <f t="shared" ca="1" si="321"/>
        <v>#N/A</v>
      </c>
      <c r="AZ153" s="107" t="e">
        <f t="shared" ca="1" si="322"/>
        <v>#N/A</v>
      </c>
      <c r="BA153" s="107" t="e">
        <f t="shared" ca="1" si="323"/>
        <v>#N/A</v>
      </c>
      <c r="BB153" s="107" t="e">
        <f t="shared" ca="1" si="324"/>
        <v>#N/A</v>
      </c>
      <c r="BC153" s="107" t="e">
        <f t="shared" ca="1" si="325"/>
        <v>#N/A</v>
      </c>
      <c r="BE153" s="112" t="e">
        <f t="shared" ca="1" si="326"/>
        <v>#N/A</v>
      </c>
      <c r="BF153" s="112" t="e">
        <f t="shared" ca="1" si="327"/>
        <v>#N/A</v>
      </c>
      <c r="BG153" s="112" t="e">
        <f t="shared" ca="1" si="328"/>
        <v>#N/A</v>
      </c>
      <c r="BH153" s="111"/>
      <c r="BI153" s="112">
        <f t="shared" si="329"/>
        <v>84.88</v>
      </c>
      <c r="BJ153" s="112">
        <f t="shared" si="330"/>
        <v>-0.02</v>
      </c>
      <c r="BK153" s="112">
        <f t="shared" si="331"/>
        <v>2.88</v>
      </c>
      <c r="BL153" s="107"/>
      <c r="BM153" s="113">
        <f t="shared" si="332"/>
        <v>0.86961517241379305</v>
      </c>
      <c r="BN153" s="112">
        <f t="shared" si="333"/>
        <v>0.85525517241379312</v>
      </c>
      <c r="BO153" s="112">
        <f t="shared" si="334"/>
        <v>0.86965517241379309</v>
      </c>
      <c r="BP153" s="113">
        <f t="shared" si="302"/>
        <v>0.65762955846383742</v>
      </c>
      <c r="BQ153" s="113">
        <f t="shared" si="335"/>
        <v>0.65772031030382549</v>
      </c>
      <c r="BR153" s="113">
        <f t="shared" si="303"/>
        <v>0.62558615427273867</v>
      </c>
      <c r="BS153" s="125">
        <f t="shared" si="304"/>
        <v>0.63408642027083195</v>
      </c>
      <c r="BT153" s="113">
        <f t="shared" si="305"/>
        <v>0.65772031030382549</v>
      </c>
      <c r="BU153" s="112">
        <f t="shared" si="306"/>
        <v>0.51604601865958211</v>
      </c>
      <c r="BV153" s="255"/>
      <c r="BZ153" s="112"/>
      <c r="CA153" s="112"/>
      <c r="CB153" s="112"/>
      <c r="CC153" s="112"/>
      <c r="DG153" s="107"/>
      <c r="DH153" s="107"/>
      <c r="DI153" s="107"/>
      <c r="DJ153" s="107"/>
    </row>
    <row r="154" spans="2:114">
      <c r="B154" s="7"/>
      <c r="C154" s="7"/>
      <c r="D154" s="7"/>
      <c r="E154" s="7"/>
      <c r="F154" s="7"/>
      <c r="G154" s="7"/>
      <c r="H154" s="7"/>
      <c r="I154" s="7"/>
      <c r="J154" s="7"/>
      <c r="K154" s="7"/>
      <c r="L154" s="7"/>
      <c r="M154" s="7"/>
      <c r="N154" s="7"/>
      <c r="O154" s="7"/>
      <c r="P154" s="7"/>
      <c r="Q154" s="7"/>
      <c r="R154" s="64"/>
      <c r="S154" s="64"/>
      <c r="T154" s="64"/>
      <c r="U154" s="64"/>
      <c r="V154" s="64"/>
      <c r="W154" s="64"/>
      <c r="X154" s="64"/>
      <c r="Y154" s="64"/>
      <c r="Z154" s="64"/>
      <c r="AA154" s="64"/>
      <c r="AB154" s="64"/>
      <c r="AC154" s="64"/>
      <c r="AD154" s="64"/>
      <c r="AE154" s="134"/>
      <c r="AF154" s="134"/>
      <c r="AG154" s="127">
        <f t="shared" ca="1" si="336"/>
        <v>84.68</v>
      </c>
      <c r="AH154" s="127">
        <f t="shared" ca="1" si="336"/>
        <v>0.19</v>
      </c>
      <c r="AI154" s="127">
        <f t="shared" ca="1" si="336"/>
        <v>2.89</v>
      </c>
      <c r="AJ154" s="109">
        <v>50</v>
      </c>
      <c r="AK154" s="113">
        <f t="shared" ca="1" si="308"/>
        <v>0.8683110344827587</v>
      </c>
      <c r="AL154" s="112">
        <f t="shared" ca="1" si="309"/>
        <v>0.85348103448275869</v>
      </c>
      <c r="AM154" s="112">
        <f t="shared" ca="1" si="310"/>
        <v>0.86793103448275866</v>
      </c>
      <c r="AN154" s="113">
        <f t="shared" ca="1" si="311"/>
        <v>0.65467530647984262</v>
      </c>
      <c r="AO154" s="113">
        <f t="shared" ca="1" si="312"/>
        <v>0.65381616355734151</v>
      </c>
      <c r="AP154" s="113">
        <f t="shared" ca="1" si="313"/>
        <v>0.62170108430589555</v>
      </c>
      <c r="AQ154" s="125">
        <f t="shared" ca="1" si="314"/>
        <v>0.63123793050786425</v>
      </c>
      <c r="AR154" s="113">
        <f t="shared" ca="1" si="315"/>
        <v>0.65381616355734151</v>
      </c>
      <c r="AS154" s="112">
        <f t="shared" ca="1" si="316"/>
        <v>0.51284122444393321</v>
      </c>
      <c r="AT154" s="159"/>
      <c r="AU154" s="107" t="e">
        <f t="shared" ca="1" si="317"/>
        <v>#N/A</v>
      </c>
      <c r="AV154" s="107" t="e">
        <f t="shared" ca="1" si="318"/>
        <v>#N/A</v>
      </c>
      <c r="AW154" s="107" t="e">
        <f t="shared" ca="1" si="319"/>
        <v>#N/A</v>
      </c>
      <c r="AX154" s="107" t="e">
        <f t="shared" ca="1" si="320"/>
        <v>#N/A</v>
      </c>
      <c r="AY154" s="107" t="e">
        <f t="shared" ca="1" si="321"/>
        <v>#N/A</v>
      </c>
      <c r="AZ154" s="107" t="e">
        <f t="shared" ca="1" si="322"/>
        <v>#N/A</v>
      </c>
      <c r="BA154" s="107" t="e">
        <f t="shared" ca="1" si="323"/>
        <v>#N/A</v>
      </c>
      <c r="BB154" s="107" t="e">
        <f t="shared" ca="1" si="324"/>
        <v>#N/A</v>
      </c>
      <c r="BC154" s="107" t="e">
        <f t="shared" ca="1" si="325"/>
        <v>#N/A</v>
      </c>
      <c r="BE154" s="112" t="e">
        <f t="shared" ca="1" si="326"/>
        <v>#N/A</v>
      </c>
      <c r="BF154" s="112" t="e">
        <f t="shared" ca="1" si="327"/>
        <v>#N/A</v>
      </c>
      <c r="BG154" s="112" t="e">
        <f t="shared" ca="1" si="328"/>
        <v>#N/A</v>
      </c>
      <c r="BH154" s="111"/>
      <c r="BI154" s="112">
        <f t="shared" si="329"/>
        <v>84.68</v>
      </c>
      <c r="BJ154" s="112">
        <f t="shared" si="330"/>
        <v>0.19</v>
      </c>
      <c r="BK154" s="112">
        <f t="shared" si="331"/>
        <v>2.89</v>
      </c>
      <c r="BL154" s="107"/>
      <c r="BM154" s="113">
        <f t="shared" si="332"/>
        <v>0.8683110344827587</v>
      </c>
      <c r="BN154" s="112">
        <f t="shared" si="333"/>
        <v>0.85348103448275869</v>
      </c>
      <c r="BO154" s="112">
        <f t="shared" si="334"/>
        <v>0.86793103448275866</v>
      </c>
      <c r="BP154" s="113">
        <f t="shared" si="302"/>
        <v>0.65467530647984262</v>
      </c>
      <c r="BQ154" s="113">
        <f t="shared" si="335"/>
        <v>0.65381616355734151</v>
      </c>
      <c r="BR154" s="113">
        <f t="shared" si="303"/>
        <v>0.62170108430589555</v>
      </c>
      <c r="BS154" s="125">
        <f t="shared" si="304"/>
        <v>0.63123793050786425</v>
      </c>
      <c r="BT154" s="113">
        <f t="shared" si="305"/>
        <v>0.65381616355734151</v>
      </c>
      <c r="BU154" s="112">
        <f t="shared" si="306"/>
        <v>0.51284122444393321</v>
      </c>
      <c r="BV154" s="255"/>
      <c r="BZ154" s="112"/>
      <c r="CA154" s="112"/>
      <c r="CB154" s="112"/>
      <c r="CC154" s="112"/>
      <c r="DG154" s="107"/>
      <c r="DH154" s="107"/>
      <c r="DI154" s="107"/>
      <c r="DJ154" s="107"/>
    </row>
    <row r="155" spans="2:114">
      <c r="B155" s="7"/>
      <c r="C155" s="7"/>
      <c r="D155" s="7"/>
      <c r="E155" s="7"/>
      <c r="F155" s="7"/>
      <c r="G155" s="7"/>
      <c r="H155" s="7"/>
      <c r="I155" s="7"/>
      <c r="J155" s="7"/>
      <c r="K155" s="7"/>
      <c r="L155" s="7"/>
      <c r="M155" s="7"/>
      <c r="N155" s="7"/>
      <c r="O155" s="7"/>
      <c r="P155" s="7"/>
      <c r="Q155" s="7"/>
      <c r="R155" s="64"/>
      <c r="S155" s="64"/>
      <c r="T155" s="64"/>
      <c r="U155" s="64"/>
      <c r="V155" s="64"/>
      <c r="W155" s="64"/>
      <c r="X155" s="64"/>
      <c r="Y155" s="64"/>
      <c r="Z155" s="64"/>
      <c r="AA155" s="64"/>
      <c r="AB155" s="64"/>
      <c r="AC155" s="64"/>
      <c r="AD155" s="64"/>
      <c r="AE155" s="134"/>
      <c r="AF155" s="134"/>
      <c r="AG155" s="127">
        <f t="shared" ca="1" si="336"/>
        <v>42.27</v>
      </c>
      <c r="AH155" s="127">
        <f t="shared" ca="1" si="336"/>
        <v>7.59</v>
      </c>
      <c r="AI155" s="127">
        <f t="shared" ca="1" si="336"/>
        <v>-9.49</v>
      </c>
      <c r="AJ155" s="109">
        <v>51</v>
      </c>
      <c r="AK155" s="113">
        <f t="shared" ca="1" si="308"/>
        <v>0.51750758620689652</v>
      </c>
      <c r="AL155" s="112">
        <f t="shared" ca="1" si="309"/>
        <v>0.54977758620689654</v>
      </c>
      <c r="AM155" s="112">
        <f t="shared" ca="1" si="310"/>
        <v>0.50232758620689655</v>
      </c>
      <c r="AN155" s="113">
        <f t="shared" ca="1" si="311"/>
        <v>0.13859582936520967</v>
      </c>
      <c r="AO155" s="113">
        <f t="shared" ca="1" si="312"/>
        <v>0.12675382875156319</v>
      </c>
      <c r="AP155" s="113">
        <f t="shared" ca="1" si="313"/>
        <v>0.16617324109378362</v>
      </c>
      <c r="AQ155" s="125">
        <f t="shared" ca="1" si="314"/>
        <v>0.13363409867393516</v>
      </c>
      <c r="AR155" s="113">
        <f t="shared" ca="1" si="315"/>
        <v>0.12675382875156319</v>
      </c>
      <c r="AS155" s="112">
        <f t="shared" ca="1" si="316"/>
        <v>0.13707630657826211</v>
      </c>
      <c r="AT155" s="159"/>
      <c r="AU155" s="107" t="e">
        <f t="shared" ca="1" si="317"/>
        <v>#N/A</v>
      </c>
      <c r="AV155" s="107" t="e">
        <f t="shared" ca="1" si="318"/>
        <v>#N/A</v>
      </c>
      <c r="AW155" s="107" t="e">
        <f t="shared" ca="1" si="319"/>
        <v>#N/A</v>
      </c>
      <c r="AX155" s="107" t="e">
        <f t="shared" ca="1" si="320"/>
        <v>#N/A</v>
      </c>
      <c r="AY155" s="107" t="e">
        <f t="shared" ca="1" si="321"/>
        <v>#N/A</v>
      </c>
      <c r="AZ155" s="107" t="e">
        <f t="shared" ca="1" si="322"/>
        <v>#N/A</v>
      </c>
      <c r="BA155" s="107" t="e">
        <f t="shared" ca="1" si="323"/>
        <v>#N/A</v>
      </c>
      <c r="BB155" s="107" t="e">
        <f t="shared" ca="1" si="324"/>
        <v>#N/A</v>
      </c>
      <c r="BC155" s="107" t="e">
        <f t="shared" ca="1" si="325"/>
        <v>#N/A</v>
      </c>
      <c r="BE155" s="112" t="e">
        <f t="shared" ca="1" si="326"/>
        <v>#N/A</v>
      </c>
      <c r="BF155" s="112" t="e">
        <f t="shared" ca="1" si="327"/>
        <v>#N/A</v>
      </c>
      <c r="BG155" s="112" t="e">
        <f t="shared" ca="1" si="328"/>
        <v>#N/A</v>
      </c>
      <c r="BH155" s="111"/>
      <c r="BI155" s="112">
        <f t="shared" si="329"/>
        <v>42.27</v>
      </c>
      <c r="BJ155" s="112">
        <f t="shared" si="330"/>
        <v>7.59</v>
      </c>
      <c r="BK155" s="112">
        <f t="shared" si="331"/>
        <v>-9.49</v>
      </c>
      <c r="BL155" s="107"/>
      <c r="BM155" s="113">
        <f t="shared" si="332"/>
        <v>0.51750758620689652</v>
      </c>
      <c r="BN155" s="112">
        <f t="shared" si="333"/>
        <v>0.54977758620689654</v>
      </c>
      <c r="BO155" s="112">
        <f t="shared" si="334"/>
        <v>0.50232758620689655</v>
      </c>
      <c r="BP155" s="113">
        <f t="shared" si="302"/>
        <v>0.13859582936520967</v>
      </c>
      <c r="BQ155" s="113">
        <f t="shared" si="335"/>
        <v>0.12675382875156319</v>
      </c>
      <c r="BR155" s="113">
        <f t="shared" si="303"/>
        <v>0.16617324109378362</v>
      </c>
      <c r="BS155" s="125">
        <f t="shared" si="304"/>
        <v>0.13363409867393516</v>
      </c>
      <c r="BT155" s="113">
        <f t="shared" si="305"/>
        <v>0.12675382875156319</v>
      </c>
      <c r="BU155" s="112">
        <f t="shared" si="306"/>
        <v>0.13707630657826211</v>
      </c>
      <c r="BV155" s="255"/>
      <c r="BW155" s="111"/>
      <c r="BX155" s="111"/>
    </row>
    <row r="156" spans="2:114">
      <c r="B156" s="7"/>
      <c r="C156" s="7"/>
      <c r="D156" s="7"/>
      <c r="E156" s="7"/>
      <c r="F156" s="7"/>
      <c r="G156" s="7"/>
      <c r="H156" s="7"/>
      <c r="I156" s="7"/>
      <c r="J156" s="7"/>
      <c r="K156" s="7"/>
      <c r="L156" s="7"/>
      <c r="M156" s="7"/>
      <c r="N156" s="7"/>
      <c r="O156" s="7"/>
      <c r="P156" s="7"/>
      <c r="Q156" s="7"/>
      <c r="R156" s="64"/>
      <c r="S156" s="64"/>
      <c r="T156" s="64"/>
      <c r="U156" s="64"/>
      <c r="V156" s="64"/>
      <c r="W156" s="64"/>
      <c r="X156" s="64"/>
      <c r="Y156" s="64"/>
      <c r="Z156" s="64"/>
      <c r="AA156" s="64"/>
      <c r="AB156" s="64"/>
      <c r="AC156" s="64"/>
      <c r="AD156" s="64"/>
      <c r="AE156" s="134"/>
      <c r="AF156" s="134"/>
      <c r="AG156" s="127">
        <f t="shared" ca="1" si="336"/>
        <v>80.05</v>
      </c>
      <c r="AH156" s="127">
        <f t="shared" ca="1" si="336"/>
        <v>-0.05</v>
      </c>
      <c r="AI156" s="127">
        <f t="shared" ca="1" si="336"/>
        <v>2.5299999999999998</v>
      </c>
      <c r="AJ156" s="109">
        <v>52</v>
      </c>
      <c r="AK156" s="113">
        <f t="shared" ca="1" si="308"/>
        <v>0.82791724137931033</v>
      </c>
      <c r="AL156" s="112">
        <f t="shared" ca="1" si="309"/>
        <v>0.81536724137931027</v>
      </c>
      <c r="AM156" s="112">
        <f t="shared" ca="1" si="310"/>
        <v>0.82801724137931032</v>
      </c>
      <c r="AN156" s="113">
        <f t="shared" ca="1" si="311"/>
        <v>0.56749335505370191</v>
      </c>
      <c r="AO156" s="113">
        <f t="shared" ca="1" si="312"/>
        <v>0.56769901397979106</v>
      </c>
      <c r="AP156" s="113">
        <f t="shared" ca="1" si="313"/>
        <v>0.54207549751297956</v>
      </c>
      <c r="AQ156" s="125">
        <f t="shared" ca="1" si="314"/>
        <v>0.54717709294277939</v>
      </c>
      <c r="AR156" s="113">
        <f t="shared" ca="1" si="315"/>
        <v>0.56769901397979106</v>
      </c>
      <c r="AS156" s="112">
        <f t="shared" ca="1" si="316"/>
        <v>0.44715807789845685</v>
      </c>
      <c r="AT156" s="159"/>
      <c r="AU156" s="107" t="e">
        <f t="shared" ca="1" si="317"/>
        <v>#N/A</v>
      </c>
      <c r="AV156" s="107" t="e">
        <f t="shared" ca="1" si="318"/>
        <v>#N/A</v>
      </c>
      <c r="AW156" s="107" t="e">
        <f t="shared" ca="1" si="319"/>
        <v>#N/A</v>
      </c>
      <c r="AX156" s="107" t="e">
        <f t="shared" ca="1" si="320"/>
        <v>#N/A</v>
      </c>
      <c r="AY156" s="107" t="e">
        <f t="shared" ca="1" si="321"/>
        <v>#N/A</v>
      </c>
      <c r="AZ156" s="107" t="e">
        <f t="shared" ca="1" si="322"/>
        <v>#N/A</v>
      </c>
      <c r="BA156" s="107" t="e">
        <f t="shared" ca="1" si="323"/>
        <v>#N/A</v>
      </c>
      <c r="BB156" s="107" t="e">
        <f t="shared" ca="1" si="324"/>
        <v>#N/A</v>
      </c>
      <c r="BC156" s="107" t="e">
        <f t="shared" ca="1" si="325"/>
        <v>#N/A</v>
      </c>
      <c r="BE156" s="112" t="e">
        <f t="shared" ca="1" si="326"/>
        <v>#N/A</v>
      </c>
      <c r="BF156" s="112" t="e">
        <f t="shared" ca="1" si="327"/>
        <v>#N/A</v>
      </c>
      <c r="BG156" s="112" t="e">
        <f t="shared" ca="1" si="328"/>
        <v>#N/A</v>
      </c>
      <c r="BH156" s="111"/>
      <c r="BI156" s="112">
        <f t="shared" si="329"/>
        <v>80.05</v>
      </c>
      <c r="BJ156" s="112">
        <f t="shared" si="330"/>
        <v>-0.05</v>
      </c>
      <c r="BK156" s="112">
        <f t="shared" si="331"/>
        <v>2.5299999999999998</v>
      </c>
      <c r="BL156" s="107"/>
      <c r="BM156" s="113">
        <f t="shared" si="332"/>
        <v>0.82791724137931033</v>
      </c>
      <c r="BN156" s="112">
        <f t="shared" si="333"/>
        <v>0.81536724137931027</v>
      </c>
      <c r="BO156" s="112">
        <f t="shared" si="334"/>
        <v>0.82801724137931032</v>
      </c>
      <c r="BP156" s="113">
        <f t="shared" si="302"/>
        <v>0.56749335505370191</v>
      </c>
      <c r="BQ156" s="113">
        <f t="shared" si="335"/>
        <v>0.56769901397979106</v>
      </c>
      <c r="BR156" s="113">
        <f t="shared" si="303"/>
        <v>0.54207549751297956</v>
      </c>
      <c r="BS156" s="125">
        <f t="shared" si="304"/>
        <v>0.54717709294277939</v>
      </c>
      <c r="BT156" s="113">
        <f t="shared" si="305"/>
        <v>0.56769901397979106</v>
      </c>
      <c r="BU156" s="112">
        <f t="shared" si="306"/>
        <v>0.44715807789845685</v>
      </c>
      <c r="BV156" s="255"/>
      <c r="BW156" s="111"/>
      <c r="BX156" s="111"/>
    </row>
    <row r="157" spans="2:114">
      <c r="B157" s="7"/>
      <c r="C157" s="7"/>
      <c r="D157" s="7"/>
      <c r="E157" s="7"/>
      <c r="F157" s="7"/>
      <c r="G157" s="7"/>
      <c r="H157" s="7"/>
      <c r="I157" s="7"/>
      <c r="J157" s="7"/>
      <c r="K157" s="7"/>
      <c r="L157" s="7"/>
      <c r="M157" s="7"/>
      <c r="N157" s="7"/>
      <c r="O157" s="7"/>
      <c r="P157" s="7"/>
      <c r="Q157" s="7"/>
      <c r="R157" s="64"/>
      <c r="S157" s="64"/>
      <c r="T157" s="64"/>
      <c r="U157" s="64"/>
      <c r="V157" s="64"/>
      <c r="W157" s="64"/>
      <c r="X157" s="64"/>
      <c r="Y157" s="64"/>
      <c r="Z157" s="64"/>
      <c r="AA157" s="64"/>
      <c r="AB157" s="64"/>
      <c r="AC157" s="64"/>
      <c r="AD157" s="64"/>
      <c r="AE157" s="134"/>
      <c r="AF157" s="134"/>
      <c r="AG157" s="127">
        <f t="shared" ca="1" si="336"/>
        <v>79.459999999999994</v>
      </c>
      <c r="AH157" s="127">
        <f t="shared" ca="1" si="336"/>
        <v>0.21</v>
      </c>
      <c r="AI157" s="127">
        <f t="shared" ca="1" si="336"/>
        <v>2.75</v>
      </c>
      <c r="AJ157" s="109">
        <v>53</v>
      </c>
      <c r="AK157" s="113">
        <f t="shared" ca="1" si="308"/>
        <v>0.82335103448275859</v>
      </c>
      <c r="AL157" s="112">
        <f t="shared" ca="1" si="309"/>
        <v>0.80918103448275858</v>
      </c>
      <c r="AM157" s="112">
        <f t="shared" ca="1" si="310"/>
        <v>0.82293103448275862</v>
      </c>
      <c r="AN157" s="113">
        <f t="shared" ca="1" si="311"/>
        <v>0.55815536879181227</v>
      </c>
      <c r="AO157" s="113">
        <f t="shared" ca="1" si="312"/>
        <v>0.55730164170835217</v>
      </c>
      <c r="AP157" s="113">
        <f t="shared" ca="1" si="313"/>
        <v>0.52983065943510954</v>
      </c>
      <c r="AQ157" s="125">
        <f t="shared" ca="1" si="314"/>
        <v>0.53817340658906532</v>
      </c>
      <c r="AR157" s="113">
        <f t="shared" ca="1" si="315"/>
        <v>0.55730164170835217</v>
      </c>
      <c r="AS157" s="112">
        <f t="shared" ca="1" si="316"/>
        <v>0.43705731096802186</v>
      </c>
      <c r="AT157" s="159"/>
      <c r="AU157" s="107" t="e">
        <f t="shared" ca="1" si="317"/>
        <v>#N/A</v>
      </c>
      <c r="AV157" s="107" t="e">
        <f t="shared" ca="1" si="318"/>
        <v>#N/A</v>
      </c>
      <c r="AW157" s="107" t="e">
        <f t="shared" ca="1" si="319"/>
        <v>#N/A</v>
      </c>
      <c r="AX157" s="107" t="e">
        <f t="shared" ca="1" si="320"/>
        <v>#N/A</v>
      </c>
      <c r="AY157" s="107" t="e">
        <f t="shared" ca="1" si="321"/>
        <v>#N/A</v>
      </c>
      <c r="AZ157" s="107" t="e">
        <f t="shared" ca="1" si="322"/>
        <v>#N/A</v>
      </c>
      <c r="BA157" s="107" t="e">
        <f t="shared" ca="1" si="323"/>
        <v>#N/A</v>
      </c>
      <c r="BB157" s="107" t="e">
        <f t="shared" ca="1" si="324"/>
        <v>#N/A</v>
      </c>
      <c r="BC157" s="107" t="e">
        <f t="shared" ca="1" si="325"/>
        <v>#N/A</v>
      </c>
      <c r="BE157" s="112" t="e">
        <f t="shared" ca="1" si="326"/>
        <v>#N/A</v>
      </c>
      <c r="BF157" s="112" t="e">
        <f t="shared" ca="1" si="327"/>
        <v>#N/A</v>
      </c>
      <c r="BG157" s="112" t="e">
        <f t="shared" ca="1" si="328"/>
        <v>#N/A</v>
      </c>
      <c r="BH157" s="111"/>
      <c r="BI157" s="112">
        <f t="shared" si="329"/>
        <v>79.459999999999994</v>
      </c>
      <c r="BJ157" s="112">
        <f t="shared" si="330"/>
        <v>0.21</v>
      </c>
      <c r="BK157" s="112">
        <f t="shared" si="331"/>
        <v>2.75</v>
      </c>
      <c r="BL157" s="107"/>
      <c r="BM157" s="113">
        <f t="shared" si="332"/>
        <v>0.82335103448275859</v>
      </c>
      <c r="BN157" s="112">
        <f t="shared" si="333"/>
        <v>0.80918103448275858</v>
      </c>
      <c r="BO157" s="112">
        <f t="shared" si="334"/>
        <v>0.82293103448275862</v>
      </c>
      <c r="BP157" s="113">
        <f t="shared" si="302"/>
        <v>0.55815536879181227</v>
      </c>
      <c r="BQ157" s="113">
        <f t="shared" si="335"/>
        <v>0.55730164170835217</v>
      </c>
      <c r="BR157" s="113">
        <f t="shared" si="303"/>
        <v>0.52983065943510954</v>
      </c>
      <c r="BS157" s="125">
        <f t="shared" si="304"/>
        <v>0.53817340658906532</v>
      </c>
      <c r="BT157" s="113">
        <f t="shared" si="305"/>
        <v>0.55730164170835217</v>
      </c>
      <c r="BU157" s="112">
        <f t="shared" si="306"/>
        <v>0.43705731096802186</v>
      </c>
      <c r="BV157" s="255"/>
      <c r="BW157" s="111"/>
      <c r="BX157" s="111"/>
    </row>
    <row r="158" spans="2:114">
      <c r="B158" s="7"/>
      <c r="C158" s="7"/>
      <c r="D158" s="7"/>
      <c r="E158" s="7"/>
      <c r="F158" s="7"/>
      <c r="G158" s="7"/>
      <c r="H158" s="7"/>
      <c r="I158" s="7"/>
      <c r="J158" s="7"/>
      <c r="K158" s="7"/>
      <c r="L158" s="7"/>
      <c r="M158" s="7"/>
      <c r="N158" s="7"/>
      <c r="O158" s="7"/>
      <c r="P158" s="7"/>
      <c r="Q158" s="7"/>
      <c r="R158" s="64"/>
      <c r="S158" s="64"/>
      <c r="T158" s="64"/>
      <c r="U158" s="64"/>
      <c r="V158" s="64"/>
      <c r="W158" s="64"/>
      <c r="X158" s="64"/>
      <c r="Y158" s="64"/>
      <c r="Z158" s="64"/>
      <c r="AA158" s="64"/>
      <c r="AB158" s="64"/>
      <c r="AC158" s="64"/>
      <c r="AD158" s="64"/>
      <c r="AE158" s="134"/>
      <c r="AF158" s="134"/>
      <c r="AG158" s="127">
        <f t="shared" ca="1" si="336"/>
        <v>47.71</v>
      </c>
      <c r="AH158" s="127">
        <f t="shared" ca="1" si="336"/>
        <v>21.96</v>
      </c>
      <c r="AI158" s="127">
        <f t="shared" ca="1" si="336"/>
        <v>-0.42</v>
      </c>
      <c r="AJ158" s="109">
        <f t="shared" ref="AJ158:AJ188" si="337">AJ157+1</f>
        <v>54</v>
      </c>
      <c r="AK158" s="113">
        <f ca="1">AH158/500+AM158</f>
        <v>0.59314413793103449</v>
      </c>
      <c r="AL158" s="112">
        <f t="shared" ca="1" si="309"/>
        <v>0.55132413793103452</v>
      </c>
      <c r="AM158" s="112">
        <f t="shared" ca="1" si="310"/>
        <v>0.54922413793103453</v>
      </c>
      <c r="AN158" s="113">
        <f t="shared" ca="1" si="311"/>
        <v>0.20867995184097271</v>
      </c>
      <c r="AO158" s="113">
        <f t="shared" ca="1" si="312"/>
        <v>0.16567189794259199</v>
      </c>
      <c r="AP158" s="113">
        <f t="shared" ca="1" si="313"/>
        <v>0.16757955050715917</v>
      </c>
      <c r="AQ158" s="125">
        <f t="shared" ca="1" si="314"/>
        <v>0.20120920956506588</v>
      </c>
      <c r="AR158" s="113">
        <f t="shared" ca="1" si="315"/>
        <v>0.16567189794259199</v>
      </c>
      <c r="AS158" s="112">
        <f t="shared" ca="1" si="316"/>
        <v>0.13823637121335558</v>
      </c>
      <c r="AT158" s="159"/>
      <c r="AU158" s="107" t="e">
        <f t="shared" ca="1" si="317"/>
        <v>#N/A</v>
      </c>
      <c r="AV158" s="107" t="e">
        <f t="shared" ca="1" si="318"/>
        <v>#N/A</v>
      </c>
      <c r="AW158" s="107" t="e">
        <f t="shared" ca="1" si="319"/>
        <v>#N/A</v>
      </c>
      <c r="AX158" s="107" t="e">
        <f t="shared" ca="1" si="320"/>
        <v>#N/A</v>
      </c>
      <c r="AY158" s="107" t="e">
        <f t="shared" ca="1" si="321"/>
        <v>#N/A</v>
      </c>
      <c r="AZ158" s="107" t="e">
        <f t="shared" ca="1" si="322"/>
        <v>#N/A</v>
      </c>
      <c r="BA158" s="107" t="e">
        <f t="shared" ca="1" si="323"/>
        <v>#N/A</v>
      </c>
      <c r="BB158" s="107" t="e">
        <f t="shared" ca="1" si="324"/>
        <v>#N/A</v>
      </c>
      <c r="BC158" s="107" t="e">
        <f t="shared" ca="1" si="325"/>
        <v>#N/A</v>
      </c>
      <c r="BE158" s="112" t="e">
        <f t="shared" ca="1" si="326"/>
        <v>#N/A</v>
      </c>
      <c r="BF158" s="112" t="e">
        <f t="shared" ca="1" si="327"/>
        <v>#N/A</v>
      </c>
      <c r="BG158" s="112" t="e">
        <f t="shared" ca="1" si="328"/>
        <v>#N/A</v>
      </c>
      <c r="BH158" s="111"/>
      <c r="BI158" s="112">
        <f t="shared" si="329"/>
        <v>47.71</v>
      </c>
      <c r="BJ158" s="112">
        <f t="shared" si="330"/>
        <v>21.96</v>
      </c>
      <c r="BK158" s="112">
        <f t="shared" si="331"/>
        <v>-0.42</v>
      </c>
      <c r="BL158" s="107"/>
      <c r="BM158" s="113">
        <f t="shared" si="332"/>
        <v>0.59314413793103449</v>
      </c>
      <c r="BN158" s="112">
        <f t="shared" si="333"/>
        <v>0.55132413793103452</v>
      </c>
      <c r="BO158" s="112">
        <f t="shared" si="334"/>
        <v>0.54922413793103453</v>
      </c>
      <c r="BP158" s="113">
        <f t="shared" si="302"/>
        <v>0.20867995184097271</v>
      </c>
      <c r="BQ158" s="113">
        <f t="shared" si="335"/>
        <v>0.16567189794259199</v>
      </c>
      <c r="BR158" s="113">
        <f t="shared" si="303"/>
        <v>0.16757955050715917</v>
      </c>
      <c r="BS158" s="125">
        <f t="shared" si="304"/>
        <v>0.20120920956506588</v>
      </c>
      <c r="BT158" s="113">
        <f t="shared" si="305"/>
        <v>0.16567189794259199</v>
      </c>
      <c r="BU158" s="112">
        <f t="shared" si="306"/>
        <v>0.13823637121335558</v>
      </c>
      <c r="BV158" s="255"/>
      <c r="BW158" s="108"/>
      <c r="BX158" s="108"/>
      <c r="BY158" s="111"/>
      <c r="BZ158" s="111"/>
      <c r="CA158" s="111"/>
      <c r="CB158" s="111"/>
    </row>
    <row r="159" spans="2:114">
      <c r="B159" s="7"/>
      <c r="C159" s="7"/>
      <c r="D159" s="7"/>
      <c r="E159" s="7"/>
      <c r="F159" s="7"/>
      <c r="G159" s="7"/>
      <c r="H159" s="7"/>
      <c r="I159" s="7"/>
      <c r="J159" s="7"/>
      <c r="K159" s="7"/>
      <c r="L159" s="7"/>
      <c r="M159" s="7"/>
      <c r="N159" s="7"/>
      <c r="O159" s="7"/>
      <c r="P159" s="7"/>
      <c r="Q159" s="7"/>
      <c r="R159" s="64"/>
      <c r="S159" s="64"/>
      <c r="T159" s="64"/>
      <c r="U159" s="64"/>
      <c r="V159" s="64"/>
      <c r="W159" s="64"/>
      <c r="X159" s="64"/>
      <c r="Y159" s="64"/>
      <c r="Z159" s="64"/>
      <c r="AA159" s="64"/>
      <c r="AB159" s="64"/>
      <c r="AC159" s="64"/>
      <c r="AD159" s="64"/>
      <c r="AE159" s="134"/>
      <c r="AF159" s="134"/>
      <c r="AG159" s="112">
        <f ca="1">IFERROR(INDEX(INDIRECT($AI$9),$AJ159,AG$103),"")</f>
        <v>70.63</v>
      </c>
      <c r="AH159" s="112">
        <f ca="1">IFERROR(INDEX(INDIRECT($AI$9),$AJ159,AH$103),"")</f>
        <v>-0.09</v>
      </c>
      <c r="AI159" s="112">
        <f ca="1">IFERROR(INDEX(INDIRECT($AI$9),$AJ159,AI$103),"")</f>
        <v>1.93</v>
      </c>
      <c r="AJ159" s="112">
        <f t="shared" si="337"/>
        <v>55</v>
      </c>
      <c r="AK159" s="112">
        <f ca="1">IFERROR(AH159/500+AM159,"")</f>
        <v>0.74663034482758617</v>
      </c>
      <c r="AL159" s="112">
        <f ca="1">IFERROR(AM159-AI159/200,"")</f>
        <v>0.73716034482758608</v>
      </c>
      <c r="AM159" s="112">
        <f ca="1">IFERROR((AG159+16)/116,"")</f>
        <v>0.74681034482758613</v>
      </c>
      <c r="AN159" s="112">
        <f ca="1">IFERROR(IF(AK159^3&gt;(216/24389),AK159^3,(116*AK159-16)/(24389/27)),"")</f>
        <v>0.41621421643150319</v>
      </c>
      <c r="AO159" s="112">
        <f ca="1">IFERROR(IF(AG159&gt;(216/24389)*(24389/27),((AG159+16)/116)^3,AG159/(24389/27)),"")</f>
        <v>0.41651531572058598</v>
      </c>
      <c r="AP159" s="112">
        <f ca="1">IFERROR(IF(AL159^3&gt;(216/24389),AL159^3,(116*AL159-16)/(24389/27)),"")</f>
        <v>0.40057689286892317</v>
      </c>
      <c r="AQ159" s="112">
        <f ca="1">IFERROR(AN159*0.9642,"")</f>
        <v>0.40131374748325538</v>
      </c>
      <c r="AR159" s="112">
        <f t="shared" ref="AR159" ca="1" si="338">AO159</f>
        <v>0.41651531572058598</v>
      </c>
      <c r="AS159" s="112">
        <f ca="1">IFERROR(AP159*0.8249,"")</f>
        <v>0.3304358789275747</v>
      </c>
      <c r="AT159" s="159"/>
      <c r="AU159" s="107" t="str">
        <f ca="1">IFERROR(AQ159*(1+$BZ$112)-$BZ$110*$BZ$112,"")</f>
        <v/>
      </c>
      <c r="AV159" s="107" t="str">
        <f ca="1">IFERROR(AR159*(1+$CA$112)-$CA$110*$CA$112,"")</f>
        <v/>
      </c>
      <c r="AW159" s="107" t="str">
        <f ca="1">IFERROR(AS159*(1+$CB$112)-$CB$110*$CB$112,"")</f>
        <v/>
      </c>
      <c r="AX159" s="107" t="str">
        <f ca="1">IFERROR(IF(BA159&gt;(216/24389),BA159^(1/3),((24389/27)*BA159+16)/116),"")</f>
        <v/>
      </c>
      <c r="AY159" s="108" t="str">
        <f ca="1">IFERROR(IF(BB159&gt;(216/24389),BB159^(1/3),((24389/27)*BB159+16)/116),"")</f>
        <v/>
      </c>
      <c r="AZ159" s="108" t="str">
        <f ca="1">IFERROR(IF(BC159&gt;(216/24389),BC159^(1/3),((24389/27)*BC159+16)/116),"")</f>
        <v/>
      </c>
      <c r="BA159" s="108" t="str">
        <f ca="1">IFERROR(AU159/0.9642,"")</f>
        <v/>
      </c>
      <c r="BB159" s="108" t="str">
        <f ca="1">IFERROR(AV159,"")</f>
        <v/>
      </c>
      <c r="BC159" s="108" t="str">
        <f ca="1">IFERROR(AW159/0.8249,"")</f>
        <v/>
      </c>
      <c r="BD159" s="109"/>
      <c r="BE159" s="109" t="str">
        <f ca="1">IFERROR(116*AY159-16,"")</f>
        <v/>
      </c>
      <c r="BF159" s="109" t="str">
        <f ca="1">IFERROR(500*(AX159-AY159),"")</f>
        <v/>
      </c>
      <c r="BG159" s="109" t="str">
        <f ca="1">IFERROR(200*(AY159-AZ159),"")</f>
        <v/>
      </c>
      <c r="BH159" s="109"/>
      <c r="BI159" s="109">
        <f t="shared" si="329"/>
        <v>70.63</v>
      </c>
      <c r="BJ159" s="109">
        <f t="shared" si="330"/>
        <v>-0.09</v>
      </c>
      <c r="BK159" s="109">
        <f t="shared" si="331"/>
        <v>1.93</v>
      </c>
      <c r="BL159" s="109"/>
      <c r="BM159" s="109">
        <f t="shared" ref="BM159:BM188" si="339">BJ159/500+BO159</f>
        <v>0.74663034482758617</v>
      </c>
      <c r="BN159" s="109">
        <f t="shared" ref="BN159:BN188" si="340">BO159-BK159/200</f>
        <v>0.73716034482758608</v>
      </c>
      <c r="BO159" s="109">
        <f t="shared" ref="BO159:BO188" si="341">(BI159+16)/116</f>
        <v>0.74681034482758613</v>
      </c>
      <c r="BP159" s="113">
        <f t="shared" ref="BP159:BP188" si="342">IF(BM159^3&gt;(216/24389),BM159^3,(116*BM159-16)/(24389/27))</f>
        <v>0.41621421643150319</v>
      </c>
      <c r="BQ159" s="113">
        <f t="shared" ref="BQ159:BQ188" si="343">IF(BI159&gt;(216/24389)*(24389/27),((BI159+16)/116)^3,BI159/(24389/27))</f>
        <v>0.41651531572058598</v>
      </c>
      <c r="BR159" s="113">
        <f t="shared" ref="BR159:BR188" si="344">IF(BN159^3&gt;(216/24389),BN159^3,(116*BN159-16)/(24389/27))</f>
        <v>0.40057689286892317</v>
      </c>
      <c r="BS159" s="113">
        <f t="shared" ref="BS159:BS188" si="345">BP159*0.9642</f>
        <v>0.40131374748325538</v>
      </c>
      <c r="BT159" s="113">
        <f t="shared" ref="BT159:BT188" si="346">BQ159</f>
        <v>0.41651531572058598</v>
      </c>
      <c r="BU159" s="113">
        <f t="shared" ref="BU159:BU188" si="347">BR159*0.8249</f>
        <v>0.3304358789275747</v>
      </c>
      <c r="BV159" s="255"/>
    </row>
    <row r="160" spans="2:114">
      <c r="B160" s="7"/>
      <c r="C160" s="7"/>
      <c r="D160" s="7"/>
      <c r="E160" s="7"/>
      <c r="F160" s="7"/>
      <c r="G160" s="7"/>
      <c r="H160" s="7"/>
      <c r="I160" s="7"/>
      <c r="J160" s="7"/>
      <c r="K160" s="7"/>
      <c r="L160" s="7"/>
      <c r="M160" s="7"/>
      <c r="N160" s="7"/>
      <c r="O160" s="7"/>
      <c r="P160" s="7"/>
      <c r="Q160" s="7"/>
      <c r="R160" s="64"/>
      <c r="S160" s="64"/>
      <c r="T160" s="64"/>
      <c r="U160" s="64"/>
      <c r="V160" s="64"/>
      <c r="W160" s="64"/>
      <c r="X160" s="64"/>
      <c r="Y160" s="64"/>
      <c r="Z160" s="64"/>
      <c r="AA160" s="64"/>
      <c r="AB160" s="64"/>
      <c r="AC160" s="64"/>
      <c r="AD160" s="64"/>
      <c r="AE160" s="134"/>
      <c r="AF160" s="134"/>
      <c r="AG160" s="112">
        <f t="shared" ref="AG160:AI188" ca="1" si="348">IFERROR(INDEX(INDIRECT($AI$9),$AJ160,AG$103),"")</f>
        <v>68.97</v>
      </c>
      <c r="AH160" s="112">
        <f t="shared" ca="1" si="348"/>
        <v>0.09</v>
      </c>
      <c r="AI160" s="112">
        <f t="shared" ca="1" si="348"/>
        <v>2.2000000000000002</v>
      </c>
      <c r="AJ160" s="112">
        <f t="shared" si="337"/>
        <v>56</v>
      </c>
      <c r="AK160" s="112">
        <f t="shared" ref="AK160:AK188" ca="1" si="349">IFERROR(AH160/500+AM160,"")</f>
        <v>0.73268</v>
      </c>
      <c r="AL160" s="112">
        <f t="shared" ref="AL160:AL188" ca="1" si="350">IFERROR(AM160-AI160/200,"")</f>
        <v>0.72150000000000003</v>
      </c>
      <c r="AM160" s="112">
        <f t="shared" ref="AM160:AM188" ca="1" si="351">IFERROR((AG160+16)/116,"")</f>
        <v>0.73250000000000004</v>
      </c>
      <c r="AN160" s="112">
        <f t="shared" ref="AN160:AN188" ca="1" si="352">IFERROR(IF(AK160^3&gt;(216/24389),AK160^3,(116*AK160-16)/(24389/27)),"")</f>
        <v>0.39331726470483197</v>
      </c>
      <c r="AO160" s="112">
        <f t="shared" ref="AO160:AO188" ca="1" si="353">IFERROR(IF(AG160&gt;(216/24389)*(24389/27),((AG160+16)/116)^3,AG160/(24389/27)),"")</f>
        <v>0.39302745312500009</v>
      </c>
      <c r="AP160" s="112">
        <f t="shared" ref="AP160:AP188" ca="1" si="354">IFERROR(IF(AL160^3&gt;(216/24389),AL160^3,(116*AL160-16)/(24389/27)),"")</f>
        <v>0.37558566337500005</v>
      </c>
      <c r="AQ160" s="112">
        <f t="shared" ref="AQ160:AQ188" ca="1" si="355">IFERROR(AN160*0.9642,"")</f>
        <v>0.37923650662839897</v>
      </c>
      <c r="AR160" s="112">
        <f t="shared" ref="AR160:AR188" ca="1" si="356">AO160</f>
        <v>0.39302745312500009</v>
      </c>
      <c r="AS160" s="112">
        <f t="shared" ref="AS160:AS188" ca="1" si="357">IFERROR(AP160*0.8249,"")</f>
        <v>0.30982061371803754</v>
      </c>
      <c r="AT160" s="159"/>
      <c r="AU160" s="107" t="str">
        <f t="shared" ref="AU160:AU188" ca="1" si="358">IFERROR(AQ160*(1+$BZ$112)-$BZ$110*$BZ$112,"")</f>
        <v/>
      </c>
      <c r="AV160" s="107" t="str">
        <f t="shared" ref="AV160:AV188" ca="1" si="359">IFERROR(AR160*(1+$CA$112)-$CA$110*$CA$112,"")</f>
        <v/>
      </c>
      <c r="AW160" s="107" t="str">
        <f t="shared" ref="AW160:AW188" ca="1" si="360">IFERROR(AS160*(1+$CB$112)-$CB$110*$CB$112,"")</f>
        <v/>
      </c>
      <c r="AX160" s="107" t="str">
        <f t="shared" ref="AX160:AX188" ca="1" si="361">IFERROR(IF(BA160&gt;(216/24389),BA160^(1/3),((24389/27)*BA160+16)/116),"")</f>
        <v/>
      </c>
      <c r="AY160" s="108" t="str">
        <f t="shared" ref="AY160:AY188" ca="1" si="362">IFERROR(IF(BB160&gt;(216/24389),BB160^(1/3),((24389/27)*BB160+16)/116),"")</f>
        <v/>
      </c>
      <c r="AZ160" s="108" t="str">
        <f t="shared" ref="AZ160:AZ188" ca="1" si="363">IFERROR(IF(BC160&gt;(216/24389),BC160^(1/3),((24389/27)*BC160+16)/116),"")</f>
        <v/>
      </c>
      <c r="BA160" s="108" t="str">
        <f t="shared" ref="BA160:BA188" ca="1" si="364">IFERROR(AU160/0.9642,"")</f>
        <v/>
      </c>
      <c r="BB160" s="108" t="str">
        <f t="shared" ref="BB160:BB188" ca="1" si="365">IFERROR(AV160,"")</f>
        <v/>
      </c>
      <c r="BC160" s="108" t="str">
        <f t="shared" ref="BC160:BC188" ca="1" si="366">IFERROR(AW160/0.8249,"")</f>
        <v/>
      </c>
      <c r="BD160" s="109"/>
      <c r="BE160" s="109" t="str">
        <f t="shared" ref="BE160:BE188" ca="1" si="367">IFERROR(116*AY160-16,"")</f>
        <v/>
      </c>
      <c r="BF160" s="109" t="str">
        <f t="shared" ref="BF160:BF188" ca="1" si="368">IFERROR(500*(AX160-AY160),"")</f>
        <v/>
      </c>
      <c r="BG160" s="109" t="str">
        <f t="shared" ref="BG160:BG188" ca="1" si="369">IFERROR(200*(AY160-AZ160),"")</f>
        <v/>
      </c>
      <c r="BH160" s="109"/>
      <c r="BI160" s="109">
        <f t="shared" si="329"/>
        <v>68.97</v>
      </c>
      <c r="BJ160" s="109">
        <f t="shared" si="330"/>
        <v>0.09</v>
      </c>
      <c r="BK160" s="109">
        <f t="shared" si="331"/>
        <v>2.2000000000000002</v>
      </c>
      <c r="BL160" s="109"/>
      <c r="BM160" s="109">
        <f t="shared" si="339"/>
        <v>0.73268</v>
      </c>
      <c r="BN160" s="109">
        <f t="shared" si="340"/>
        <v>0.72150000000000003</v>
      </c>
      <c r="BO160" s="109">
        <f t="shared" si="341"/>
        <v>0.73250000000000004</v>
      </c>
      <c r="BP160" s="113">
        <f t="shared" si="342"/>
        <v>0.39331726470483197</v>
      </c>
      <c r="BQ160" s="113">
        <f t="shared" si="343"/>
        <v>0.39302745312500009</v>
      </c>
      <c r="BR160" s="113">
        <f t="shared" si="344"/>
        <v>0.37558566337500005</v>
      </c>
      <c r="BS160" s="113">
        <f t="shared" si="345"/>
        <v>0.37923650662839897</v>
      </c>
      <c r="BT160" s="113">
        <f t="shared" si="346"/>
        <v>0.39302745312500009</v>
      </c>
      <c r="BU160" s="113">
        <f t="shared" si="347"/>
        <v>0.30982061371803754</v>
      </c>
      <c r="BV160" s="255"/>
    </row>
    <row r="161" spans="2:74">
      <c r="B161" s="7"/>
      <c r="C161" s="7"/>
      <c r="D161" s="7"/>
      <c r="E161" s="7"/>
      <c r="F161" s="7"/>
      <c r="G161" s="7"/>
      <c r="H161" s="7"/>
      <c r="I161" s="7"/>
      <c r="J161" s="7"/>
      <c r="K161" s="7"/>
      <c r="L161" s="7"/>
      <c r="M161" s="7"/>
      <c r="N161" s="7"/>
      <c r="O161" s="7"/>
      <c r="P161" s="7"/>
      <c r="Q161" s="7"/>
      <c r="R161" s="64"/>
      <c r="S161" s="64"/>
      <c r="T161" s="64"/>
      <c r="U161" s="64"/>
      <c r="V161" s="64"/>
      <c r="W161" s="64"/>
      <c r="X161" s="64"/>
      <c r="Y161" s="64"/>
      <c r="Z161" s="64"/>
      <c r="AA161" s="64"/>
      <c r="AB161" s="64"/>
      <c r="AC161" s="64"/>
      <c r="AD161" s="64"/>
      <c r="AE161" s="134"/>
      <c r="AF161" s="134"/>
      <c r="AG161" s="112">
        <f t="shared" ca="1" si="348"/>
        <v>46.65</v>
      </c>
      <c r="AH161" s="112">
        <f t="shared" ca="1" si="348"/>
        <v>20</v>
      </c>
      <c r="AI161" s="112">
        <f t="shared" ca="1" si="348"/>
        <v>11.62</v>
      </c>
      <c r="AJ161" s="112">
        <f t="shared" si="337"/>
        <v>57</v>
      </c>
      <c r="AK161" s="112">
        <f t="shared" ca="1" si="349"/>
        <v>0.58008620689655177</v>
      </c>
      <c r="AL161" s="112">
        <f t="shared" ca="1" si="350"/>
        <v>0.48198620689655175</v>
      </c>
      <c r="AM161" s="112">
        <f t="shared" ca="1" si="351"/>
        <v>0.54008620689655173</v>
      </c>
      <c r="AN161" s="112">
        <f t="shared" ca="1" si="352"/>
        <v>0.19519901293167519</v>
      </c>
      <c r="AO161" s="112">
        <f t="shared" ca="1" si="353"/>
        <v>0.15753942583298314</v>
      </c>
      <c r="AP161" s="112">
        <f t="shared" ca="1" si="354"/>
        <v>0.11197055486820191</v>
      </c>
      <c r="AQ161" s="112">
        <f t="shared" ca="1" si="355"/>
        <v>0.1882108882687212</v>
      </c>
      <c r="AR161" s="112">
        <f t="shared" ca="1" si="356"/>
        <v>0.15753942583298314</v>
      </c>
      <c r="AS161" s="112">
        <f t="shared" ca="1" si="357"/>
        <v>9.2364510710779751E-2</v>
      </c>
      <c r="AT161" s="159"/>
      <c r="AU161" s="107" t="str">
        <f t="shared" ca="1" si="358"/>
        <v/>
      </c>
      <c r="AV161" s="107" t="str">
        <f t="shared" ca="1" si="359"/>
        <v/>
      </c>
      <c r="AW161" s="107" t="str">
        <f t="shared" ca="1" si="360"/>
        <v/>
      </c>
      <c r="AX161" s="107" t="str">
        <f t="shared" ca="1" si="361"/>
        <v/>
      </c>
      <c r="AY161" s="108" t="str">
        <f t="shared" ca="1" si="362"/>
        <v/>
      </c>
      <c r="AZ161" s="108" t="str">
        <f t="shared" ca="1" si="363"/>
        <v/>
      </c>
      <c r="BA161" s="108" t="str">
        <f t="shared" ca="1" si="364"/>
        <v/>
      </c>
      <c r="BB161" s="108" t="str">
        <f t="shared" ca="1" si="365"/>
        <v/>
      </c>
      <c r="BC161" s="108" t="str">
        <f t="shared" ca="1" si="366"/>
        <v/>
      </c>
      <c r="BD161" s="109"/>
      <c r="BE161" s="109" t="str">
        <f t="shared" ca="1" si="367"/>
        <v/>
      </c>
      <c r="BF161" s="109" t="str">
        <f t="shared" ca="1" si="368"/>
        <v/>
      </c>
      <c r="BG161" s="109" t="str">
        <f t="shared" ca="1" si="369"/>
        <v/>
      </c>
      <c r="BH161" s="109"/>
      <c r="BI161" s="109">
        <f t="shared" si="329"/>
        <v>46.65</v>
      </c>
      <c r="BJ161" s="109">
        <f t="shared" si="330"/>
        <v>20</v>
      </c>
      <c r="BK161" s="109">
        <f t="shared" si="331"/>
        <v>11.62</v>
      </c>
      <c r="BL161" s="109"/>
      <c r="BM161" s="109">
        <f t="shared" si="339"/>
        <v>0.58008620689655177</v>
      </c>
      <c r="BN161" s="109">
        <f t="shared" si="340"/>
        <v>0.48198620689655175</v>
      </c>
      <c r="BO161" s="109">
        <f t="shared" si="341"/>
        <v>0.54008620689655173</v>
      </c>
      <c r="BP161" s="113">
        <f t="shared" si="342"/>
        <v>0.19519901293167519</v>
      </c>
      <c r="BQ161" s="113">
        <f t="shared" si="343"/>
        <v>0.15753942583298314</v>
      </c>
      <c r="BR161" s="113">
        <f t="shared" si="344"/>
        <v>0.11197055486820191</v>
      </c>
      <c r="BS161" s="113">
        <f t="shared" si="345"/>
        <v>0.1882108882687212</v>
      </c>
      <c r="BT161" s="113">
        <f t="shared" si="346"/>
        <v>0.15753942583298314</v>
      </c>
      <c r="BU161" s="113">
        <f t="shared" si="347"/>
        <v>9.2364510710779751E-2</v>
      </c>
      <c r="BV161" s="255"/>
    </row>
    <row r="162" spans="2:74">
      <c r="B162" s="7"/>
      <c r="C162" s="7"/>
      <c r="D162" s="7"/>
      <c r="E162" s="7"/>
      <c r="F162" s="7"/>
      <c r="G162" s="7"/>
      <c r="H162" s="7"/>
      <c r="I162" s="7"/>
      <c r="J162" s="7"/>
      <c r="K162" s="7"/>
      <c r="L162" s="7"/>
      <c r="M162" s="7"/>
      <c r="N162" s="7"/>
      <c r="O162" s="7"/>
      <c r="P162" s="7"/>
      <c r="Q162" s="7"/>
      <c r="R162" s="64"/>
      <c r="S162" s="64"/>
      <c r="T162" s="64"/>
      <c r="U162" s="64"/>
      <c r="V162" s="64"/>
      <c r="W162" s="64"/>
      <c r="X162" s="64"/>
      <c r="Y162" s="64"/>
      <c r="Z162" s="64"/>
      <c r="AA162" s="64"/>
      <c r="AB162" s="64"/>
      <c r="AC162" s="64"/>
      <c r="AD162" s="64"/>
      <c r="AE162" s="134"/>
      <c r="AF162" s="134"/>
      <c r="AG162" s="112">
        <f t="shared" ca="1" si="348"/>
        <v>56.19</v>
      </c>
      <c r="AH162" s="112">
        <f t="shared" ca="1" si="348"/>
        <v>0.04</v>
      </c>
      <c r="AI162" s="112">
        <f t="shared" ca="1" si="348"/>
        <v>1.35</v>
      </c>
      <c r="AJ162" s="112">
        <f t="shared" si="337"/>
        <v>58</v>
      </c>
      <c r="AK162" s="112">
        <f t="shared" ca="1" si="349"/>
        <v>0.62240758620689651</v>
      </c>
      <c r="AL162" s="112">
        <f t="shared" ca="1" si="350"/>
        <v>0.61557758620689651</v>
      </c>
      <c r="AM162" s="112">
        <f t="shared" ca="1" si="351"/>
        <v>0.62232758620689654</v>
      </c>
      <c r="AN162" s="112">
        <f t="shared" ca="1" si="352"/>
        <v>0.24111522380599668</v>
      </c>
      <c r="AO162" s="112">
        <f t="shared" ca="1" si="353"/>
        <v>0.24102226186690209</v>
      </c>
      <c r="AP162" s="112">
        <f t="shared" ca="1" si="354"/>
        <v>0.23326436332474612</v>
      </c>
      <c r="AQ162" s="112">
        <f t="shared" ca="1" si="355"/>
        <v>0.23248329879374199</v>
      </c>
      <c r="AR162" s="112">
        <f t="shared" ca="1" si="356"/>
        <v>0.24102226186690209</v>
      </c>
      <c r="AS162" s="112">
        <f t="shared" ca="1" si="357"/>
        <v>0.19241977330658308</v>
      </c>
      <c r="AT162" s="159"/>
      <c r="AU162" s="107" t="str">
        <f t="shared" ca="1" si="358"/>
        <v/>
      </c>
      <c r="AV162" s="107" t="str">
        <f t="shared" ca="1" si="359"/>
        <v/>
      </c>
      <c r="AW162" s="107" t="str">
        <f t="shared" ca="1" si="360"/>
        <v/>
      </c>
      <c r="AX162" s="107" t="str">
        <f t="shared" ca="1" si="361"/>
        <v/>
      </c>
      <c r="AY162" s="108" t="str">
        <f t="shared" ca="1" si="362"/>
        <v/>
      </c>
      <c r="AZ162" s="108" t="str">
        <f t="shared" ca="1" si="363"/>
        <v/>
      </c>
      <c r="BA162" s="108" t="str">
        <f t="shared" ca="1" si="364"/>
        <v/>
      </c>
      <c r="BB162" s="108" t="str">
        <f t="shared" ca="1" si="365"/>
        <v/>
      </c>
      <c r="BC162" s="108" t="str">
        <f t="shared" ca="1" si="366"/>
        <v/>
      </c>
      <c r="BD162" s="109"/>
      <c r="BE162" s="109" t="str">
        <f t="shared" ca="1" si="367"/>
        <v/>
      </c>
      <c r="BF162" s="109" t="str">
        <f t="shared" ca="1" si="368"/>
        <v/>
      </c>
      <c r="BG162" s="109" t="str">
        <f t="shared" ca="1" si="369"/>
        <v/>
      </c>
      <c r="BH162" s="109"/>
      <c r="BI162" s="109">
        <f t="shared" si="329"/>
        <v>56.19</v>
      </c>
      <c r="BJ162" s="109">
        <f t="shared" si="330"/>
        <v>0.04</v>
      </c>
      <c r="BK162" s="109">
        <f t="shared" si="331"/>
        <v>1.35</v>
      </c>
      <c r="BL162" s="109"/>
      <c r="BM162" s="109">
        <f t="shared" si="339"/>
        <v>0.62240758620689651</v>
      </c>
      <c r="BN162" s="109">
        <f t="shared" si="340"/>
        <v>0.61557758620689651</v>
      </c>
      <c r="BO162" s="109">
        <f t="shared" si="341"/>
        <v>0.62232758620689654</v>
      </c>
      <c r="BP162" s="113">
        <f t="shared" si="342"/>
        <v>0.24111522380599668</v>
      </c>
      <c r="BQ162" s="113">
        <f t="shared" si="343"/>
        <v>0.24102226186690209</v>
      </c>
      <c r="BR162" s="113">
        <f t="shared" si="344"/>
        <v>0.23326436332474612</v>
      </c>
      <c r="BS162" s="113">
        <f t="shared" si="345"/>
        <v>0.23248329879374199</v>
      </c>
      <c r="BT162" s="113">
        <f t="shared" si="346"/>
        <v>0.24102226186690209</v>
      </c>
      <c r="BU162" s="113">
        <f t="shared" si="347"/>
        <v>0.19241977330658308</v>
      </c>
      <c r="BV162" s="255"/>
    </row>
    <row r="163" spans="2:74">
      <c r="B163" s="7"/>
      <c r="C163" s="7"/>
      <c r="D163" s="7"/>
      <c r="E163" s="7"/>
      <c r="F163" s="7"/>
      <c r="G163" s="7"/>
      <c r="H163" s="7"/>
      <c r="I163" s="7"/>
      <c r="J163" s="7"/>
      <c r="K163" s="7"/>
      <c r="L163" s="7"/>
      <c r="M163" s="7"/>
      <c r="N163" s="7"/>
      <c r="O163" s="7"/>
      <c r="P163" s="7"/>
      <c r="Q163" s="7"/>
      <c r="R163" s="64"/>
      <c r="S163" s="64"/>
      <c r="T163" s="64"/>
      <c r="U163" s="64"/>
      <c r="V163" s="64"/>
      <c r="W163" s="64"/>
      <c r="X163" s="64"/>
      <c r="Y163" s="64"/>
      <c r="Z163" s="64"/>
      <c r="AA163" s="64"/>
      <c r="AB163" s="64"/>
      <c r="AC163" s="64"/>
      <c r="AD163" s="64"/>
      <c r="AE163" s="134"/>
      <c r="AF163" s="134"/>
      <c r="AG163" s="112">
        <f t="shared" ca="1" si="348"/>
        <v>54.06</v>
      </c>
      <c r="AH163" s="112">
        <f t="shared" ca="1" si="348"/>
        <v>-0.02</v>
      </c>
      <c r="AI163" s="112">
        <f t="shared" ca="1" si="348"/>
        <v>1.35</v>
      </c>
      <c r="AJ163" s="112">
        <f t="shared" si="337"/>
        <v>59</v>
      </c>
      <c r="AK163" s="112">
        <f t="shared" ca="1" si="349"/>
        <v>0.60392551724137933</v>
      </c>
      <c r="AL163" s="112">
        <f t="shared" ca="1" si="350"/>
        <v>0.59721551724137933</v>
      </c>
      <c r="AM163" s="112">
        <f t="shared" ca="1" si="351"/>
        <v>0.60396551724137937</v>
      </c>
      <c r="AN163" s="112">
        <f t="shared" ca="1" si="352"/>
        <v>0.2202673565457785</v>
      </c>
      <c r="AO163" s="112">
        <f t="shared" ca="1" si="353"/>
        <v>0.22031112656833005</v>
      </c>
      <c r="AP163" s="112">
        <f t="shared" ca="1" si="354"/>
        <v>0.21300669305125583</v>
      </c>
      <c r="AQ163" s="112">
        <f t="shared" ca="1" si="355"/>
        <v>0.21238178518143963</v>
      </c>
      <c r="AR163" s="112">
        <f t="shared" ca="1" si="356"/>
        <v>0.22031112656833005</v>
      </c>
      <c r="AS163" s="112">
        <f t="shared" ca="1" si="357"/>
        <v>0.17570922109798093</v>
      </c>
      <c r="AT163" s="159"/>
      <c r="AU163" s="107" t="str">
        <f t="shared" ca="1" si="358"/>
        <v/>
      </c>
      <c r="AV163" s="107" t="str">
        <f t="shared" ca="1" si="359"/>
        <v/>
      </c>
      <c r="AW163" s="107" t="str">
        <f t="shared" ca="1" si="360"/>
        <v/>
      </c>
      <c r="AX163" s="107" t="str">
        <f t="shared" ca="1" si="361"/>
        <v/>
      </c>
      <c r="AY163" s="108" t="str">
        <f t="shared" ca="1" si="362"/>
        <v/>
      </c>
      <c r="AZ163" s="108" t="str">
        <f t="shared" ca="1" si="363"/>
        <v/>
      </c>
      <c r="BA163" s="108" t="str">
        <f t="shared" ca="1" si="364"/>
        <v/>
      </c>
      <c r="BB163" s="108" t="str">
        <f t="shared" ca="1" si="365"/>
        <v/>
      </c>
      <c r="BC163" s="108" t="str">
        <f t="shared" ca="1" si="366"/>
        <v/>
      </c>
      <c r="BD163" s="109"/>
      <c r="BE163" s="109" t="str">
        <f t="shared" ca="1" si="367"/>
        <v/>
      </c>
      <c r="BF163" s="109" t="str">
        <f t="shared" ca="1" si="368"/>
        <v/>
      </c>
      <c r="BG163" s="109" t="str">
        <f t="shared" ca="1" si="369"/>
        <v/>
      </c>
      <c r="BH163" s="109"/>
      <c r="BI163" s="109">
        <f t="shared" si="329"/>
        <v>54.06</v>
      </c>
      <c r="BJ163" s="109">
        <f t="shared" si="330"/>
        <v>-0.02</v>
      </c>
      <c r="BK163" s="109">
        <f t="shared" si="331"/>
        <v>1.35</v>
      </c>
      <c r="BL163" s="109"/>
      <c r="BM163" s="109">
        <f t="shared" si="339"/>
        <v>0.60392551724137933</v>
      </c>
      <c r="BN163" s="109">
        <f t="shared" si="340"/>
        <v>0.59721551724137933</v>
      </c>
      <c r="BO163" s="109">
        <f t="shared" si="341"/>
        <v>0.60396551724137937</v>
      </c>
      <c r="BP163" s="113">
        <f t="shared" si="342"/>
        <v>0.2202673565457785</v>
      </c>
      <c r="BQ163" s="113">
        <f t="shared" si="343"/>
        <v>0.22031112656833005</v>
      </c>
      <c r="BR163" s="113">
        <f t="shared" si="344"/>
        <v>0.21300669305125583</v>
      </c>
      <c r="BS163" s="113">
        <f t="shared" si="345"/>
        <v>0.21238178518143963</v>
      </c>
      <c r="BT163" s="113">
        <f t="shared" si="346"/>
        <v>0.22031112656833005</v>
      </c>
      <c r="BU163" s="113">
        <f t="shared" si="347"/>
        <v>0.17570922109798093</v>
      </c>
      <c r="BV163" s="255"/>
    </row>
    <row r="164" spans="2:74">
      <c r="B164" s="7"/>
      <c r="C164" s="7"/>
      <c r="D164" s="7"/>
      <c r="E164" s="7"/>
      <c r="F164" s="7"/>
      <c r="G164" s="7"/>
      <c r="H164" s="7"/>
      <c r="I164" s="7"/>
      <c r="J164" s="7"/>
      <c r="K164" s="7"/>
      <c r="L164" s="7"/>
      <c r="M164" s="7"/>
      <c r="N164" s="7"/>
      <c r="O164" s="7"/>
      <c r="P164" s="7"/>
      <c r="Q164" s="7"/>
      <c r="R164" s="64"/>
      <c r="S164" s="64"/>
      <c r="T164" s="64"/>
      <c r="U164" s="64"/>
      <c r="V164" s="64"/>
      <c r="W164" s="64"/>
      <c r="X164" s="64"/>
      <c r="Y164" s="64"/>
      <c r="Z164" s="64"/>
      <c r="AA164" s="64"/>
      <c r="AB164" s="64"/>
      <c r="AC164" s="64"/>
      <c r="AD164" s="64"/>
      <c r="AE164" s="134"/>
      <c r="AF164" s="134"/>
      <c r="AG164" s="112">
        <f t="shared" ca="1" si="348"/>
        <v>55.03</v>
      </c>
      <c r="AH164" s="112">
        <f t="shared" ca="1" si="348"/>
        <v>2.75</v>
      </c>
      <c r="AI164" s="112">
        <f t="shared" ca="1" si="348"/>
        <v>20.32</v>
      </c>
      <c r="AJ164" s="112">
        <f t="shared" si="337"/>
        <v>60</v>
      </c>
      <c r="AK164" s="112">
        <f t="shared" ca="1" si="349"/>
        <v>0.61782758620689648</v>
      </c>
      <c r="AL164" s="112">
        <f t="shared" ca="1" si="350"/>
        <v>0.51072758620689651</v>
      </c>
      <c r="AM164" s="112">
        <f t="shared" ca="1" si="351"/>
        <v>0.61232758620689653</v>
      </c>
      <c r="AN164" s="112">
        <f t="shared" ca="1" si="352"/>
        <v>0.23583154021128369</v>
      </c>
      <c r="AO164" s="112">
        <f t="shared" ca="1" si="353"/>
        <v>0.22958921140614108</v>
      </c>
      <c r="AP164" s="112">
        <f t="shared" ca="1" si="354"/>
        <v>0.13321954585639553</v>
      </c>
      <c r="AQ164" s="112">
        <f t="shared" ca="1" si="355"/>
        <v>0.22738877107171973</v>
      </c>
      <c r="AR164" s="112">
        <f t="shared" ca="1" si="356"/>
        <v>0.22958921140614108</v>
      </c>
      <c r="AS164" s="112">
        <f t="shared" ca="1" si="357"/>
        <v>0.10989280337694067</v>
      </c>
      <c r="AT164" s="159"/>
      <c r="AU164" s="107" t="str">
        <f t="shared" ca="1" si="358"/>
        <v/>
      </c>
      <c r="AV164" s="107" t="str">
        <f t="shared" ca="1" si="359"/>
        <v/>
      </c>
      <c r="AW164" s="107" t="str">
        <f t="shared" ca="1" si="360"/>
        <v/>
      </c>
      <c r="AX164" s="107" t="str">
        <f t="shared" ca="1" si="361"/>
        <v/>
      </c>
      <c r="AY164" s="108" t="str">
        <f t="shared" ca="1" si="362"/>
        <v/>
      </c>
      <c r="AZ164" s="108" t="str">
        <f t="shared" ca="1" si="363"/>
        <v/>
      </c>
      <c r="BA164" s="108" t="str">
        <f t="shared" ca="1" si="364"/>
        <v/>
      </c>
      <c r="BB164" s="108" t="str">
        <f t="shared" ca="1" si="365"/>
        <v/>
      </c>
      <c r="BC164" s="108" t="str">
        <f t="shared" ca="1" si="366"/>
        <v/>
      </c>
      <c r="BD164" s="109"/>
      <c r="BE164" s="109" t="str">
        <f t="shared" ca="1" si="367"/>
        <v/>
      </c>
      <c r="BF164" s="109" t="str">
        <f t="shared" ca="1" si="368"/>
        <v/>
      </c>
      <c r="BG164" s="109" t="str">
        <f t="shared" ca="1" si="369"/>
        <v/>
      </c>
      <c r="BH164" s="109"/>
      <c r="BI164" s="109">
        <f t="shared" si="329"/>
        <v>55.03</v>
      </c>
      <c r="BJ164" s="109">
        <f t="shared" si="330"/>
        <v>2.75</v>
      </c>
      <c r="BK164" s="109">
        <f t="shared" si="331"/>
        <v>20.32</v>
      </c>
      <c r="BL164" s="109"/>
      <c r="BM164" s="109">
        <f t="shared" si="339"/>
        <v>0.61782758620689648</v>
      </c>
      <c r="BN164" s="109">
        <f t="shared" si="340"/>
        <v>0.51072758620689651</v>
      </c>
      <c r="BO164" s="109">
        <f t="shared" si="341"/>
        <v>0.61232758620689653</v>
      </c>
      <c r="BP164" s="113">
        <f t="shared" si="342"/>
        <v>0.23583154021128369</v>
      </c>
      <c r="BQ164" s="113">
        <f t="shared" si="343"/>
        <v>0.22958921140614108</v>
      </c>
      <c r="BR164" s="113">
        <f t="shared" si="344"/>
        <v>0.13321954585639553</v>
      </c>
      <c r="BS164" s="113">
        <f t="shared" si="345"/>
        <v>0.22738877107171973</v>
      </c>
      <c r="BT164" s="113">
        <f t="shared" si="346"/>
        <v>0.22958921140614108</v>
      </c>
      <c r="BU164" s="113">
        <f t="shared" si="347"/>
        <v>0.10989280337694067</v>
      </c>
      <c r="BV164" s="255"/>
    </row>
    <row r="165" spans="2:74">
      <c r="B165" s="7"/>
      <c r="C165" s="7"/>
      <c r="D165" s="7"/>
      <c r="E165" s="7"/>
      <c r="F165" s="7"/>
      <c r="G165" s="7"/>
      <c r="H165" s="7"/>
      <c r="I165" s="7"/>
      <c r="J165" s="7"/>
      <c r="K165" s="7"/>
      <c r="L165" s="7"/>
      <c r="M165" s="7"/>
      <c r="N165" s="7"/>
      <c r="O165" s="7"/>
      <c r="P165" s="7"/>
      <c r="Q165" s="7"/>
      <c r="R165" s="64"/>
      <c r="S165" s="64"/>
      <c r="T165" s="64"/>
      <c r="U165" s="64"/>
      <c r="V165" s="64"/>
      <c r="W165" s="64"/>
      <c r="X165" s="64"/>
      <c r="Y165" s="64"/>
      <c r="Z165" s="64"/>
      <c r="AA165" s="64"/>
      <c r="AB165" s="64"/>
      <c r="AC165" s="64"/>
      <c r="AD165" s="64"/>
      <c r="AE165" s="134"/>
      <c r="AF165" s="134"/>
      <c r="AG165" s="112">
        <f t="shared" ca="1" si="348"/>
        <v>41.75</v>
      </c>
      <c r="AH165" s="112">
        <f t="shared" ca="1" si="348"/>
        <v>0.44</v>
      </c>
      <c r="AI165" s="112">
        <f t="shared" ca="1" si="348"/>
        <v>1.41</v>
      </c>
      <c r="AJ165" s="112">
        <f t="shared" si="337"/>
        <v>61</v>
      </c>
      <c r="AK165" s="112">
        <f t="shared" ca="1" si="349"/>
        <v>0.4987248275862069</v>
      </c>
      <c r="AL165" s="112">
        <f t="shared" ca="1" si="350"/>
        <v>0.49079482758620691</v>
      </c>
      <c r="AM165" s="112">
        <f t="shared" ca="1" si="351"/>
        <v>0.49784482758620691</v>
      </c>
      <c r="AN165" s="112">
        <f t="shared" ca="1" si="352"/>
        <v>0.12404605771316969</v>
      </c>
      <c r="AO165" s="112">
        <f t="shared" ca="1" si="353"/>
        <v>0.12339057783157879</v>
      </c>
      <c r="AP165" s="112">
        <f t="shared" ca="1" si="354"/>
        <v>0.11822244348628881</v>
      </c>
      <c r="AQ165" s="112">
        <f t="shared" ca="1" si="355"/>
        <v>0.11960520884703821</v>
      </c>
      <c r="AR165" s="112">
        <f t="shared" ca="1" si="356"/>
        <v>0.12339057783157879</v>
      </c>
      <c r="AS165" s="112">
        <f t="shared" ca="1" si="357"/>
        <v>9.7521693631839643E-2</v>
      </c>
      <c r="AT165" s="159"/>
      <c r="AU165" s="107" t="str">
        <f t="shared" ca="1" si="358"/>
        <v/>
      </c>
      <c r="AV165" s="107" t="str">
        <f t="shared" ca="1" si="359"/>
        <v/>
      </c>
      <c r="AW165" s="107" t="str">
        <f t="shared" ca="1" si="360"/>
        <v/>
      </c>
      <c r="AX165" s="107" t="str">
        <f t="shared" ca="1" si="361"/>
        <v/>
      </c>
      <c r="AY165" s="108" t="str">
        <f t="shared" ca="1" si="362"/>
        <v/>
      </c>
      <c r="AZ165" s="108" t="str">
        <f t="shared" ca="1" si="363"/>
        <v/>
      </c>
      <c r="BA165" s="108" t="str">
        <f t="shared" ca="1" si="364"/>
        <v/>
      </c>
      <c r="BB165" s="108" t="str">
        <f t="shared" ca="1" si="365"/>
        <v/>
      </c>
      <c r="BC165" s="108" t="str">
        <f t="shared" ca="1" si="366"/>
        <v/>
      </c>
      <c r="BD165" s="109"/>
      <c r="BE165" s="109" t="str">
        <f t="shared" ca="1" si="367"/>
        <v/>
      </c>
      <c r="BF165" s="109" t="str">
        <f t="shared" ca="1" si="368"/>
        <v/>
      </c>
      <c r="BG165" s="109" t="str">
        <f t="shared" ca="1" si="369"/>
        <v/>
      </c>
      <c r="BH165" s="109"/>
      <c r="BI165" s="109">
        <f t="shared" si="329"/>
        <v>41.75</v>
      </c>
      <c r="BJ165" s="109">
        <f t="shared" si="330"/>
        <v>0.44</v>
      </c>
      <c r="BK165" s="109">
        <f t="shared" si="331"/>
        <v>1.41</v>
      </c>
      <c r="BL165" s="109"/>
      <c r="BM165" s="109">
        <f t="shared" si="339"/>
        <v>0.4987248275862069</v>
      </c>
      <c r="BN165" s="109">
        <f t="shared" si="340"/>
        <v>0.49079482758620691</v>
      </c>
      <c r="BO165" s="109">
        <f t="shared" si="341"/>
        <v>0.49784482758620691</v>
      </c>
      <c r="BP165" s="113">
        <f t="shared" si="342"/>
        <v>0.12404605771316969</v>
      </c>
      <c r="BQ165" s="113">
        <f t="shared" si="343"/>
        <v>0.12339057783157879</v>
      </c>
      <c r="BR165" s="113">
        <f t="shared" si="344"/>
        <v>0.11822244348628881</v>
      </c>
      <c r="BS165" s="113">
        <f t="shared" si="345"/>
        <v>0.11960520884703821</v>
      </c>
      <c r="BT165" s="113">
        <f t="shared" si="346"/>
        <v>0.12339057783157879</v>
      </c>
      <c r="BU165" s="113">
        <f t="shared" si="347"/>
        <v>9.7521693631839643E-2</v>
      </c>
      <c r="BV165" s="255"/>
    </row>
    <row r="166" spans="2:74">
      <c r="B166" s="7"/>
      <c r="C166" s="7"/>
      <c r="D166" s="7"/>
      <c r="E166" s="7"/>
      <c r="F166" s="7"/>
      <c r="G166" s="7"/>
      <c r="H166" s="7"/>
      <c r="I166" s="7"/>
      <c r="J166" s="7"/>
      <c r="K166" s="7"/>
      <c r="L166" s="7"/>
      <c r="M166" s="7"/>
      <c r="N166" s="7"/>
      <c r="O166" s="7"/>
      <c r="P166" s="7"/>
      <c r="Q166" s="7"/>
      <c r="R166" s="64"/>
      <c r="S166" s="64"/>
      <c r="T166" s="64"/>
      <c r="U166" s="64"/>
      <c r="V166" s="64"/>
      <c r="W166" s="64"/>
      <c r="X166" s="64"/>
      <c r="Y166" s="64"/>
      <c r="Z166" s="64"/>
      <c r="AA166" s="64"/>
      <c r="AB166" s="64"/>
      <c r="AC166" s="64"/>
      <c r="AD166" s="64"/>
      <c r="AE166" s="134"/>
      <c r="AF166" s="134"/>
      <c r="AG166" s="112">
        <f t="shared" ca="1" si="348"/>
        <v>41.14</v>
      </c>
      <c r="AH166" s="112">
        <f t="shared" ca="1" si="348"/>
        <v>0.56999999999999995</v>
      </c>
      <c r="AI166" s="112">
        <f t="shared" ca="1" si="348"/>
        <v>-0.02</v>
      </c>
      <c r="AJ166" s="112">
        <f t="shared" si="337"/>
        <v>62</v>
      </c>
      <c r="AK166" s="112">
        <f t="shared" ca="1" si="349"/>
        <v>0.49372620689655172</v>
      </c>
      <c r="AL166" s="112">
        <f t="shared" ca="1" si="350"/>
        <v>0.49268620689655174</v>
      </c>
      <c r="AM166" s="112">
        <f t="shared" ca="1" si="351"/>
        <v>0.49258620689655175</v>
      </c>
      <c r="AN166" s="112">
        <f t="shared" ca="1" si="352"/>
        <v>0.12035344895276373</v>
      </c>
      <c r="AO166" s="112">
        <f t="shared" ca="1" si="353"/>
        <v>0.1195216941705277</v>
      </c>
      <c r="AP166" s="112">
        <f t="shared" ca="1" si="354"/>
        <v>0.11959450130048134</v>
      </c>
      <c r="AQ166" s="112">
        <f t="shared" ca="1" si="355"/>
        <v>0.11604479548025479</v>
      </c>
      <c r="AR166" s="112">
        <f t="shared" ca="1" si="356"/>
        <v>0.1195216941705277</v>
      </c>
      <c r="AS166" s="112">
        <f t="shared" ca="1" si="357"/>
        <v>9.865350412276705E-2</v>
      </c>
      <c r="AT166" s="159"/>
      <c r="AU166" s="107" t="str">
        <f t="shared" ca="1" si="358"/>
        <v/>
      </c>
      <c r="AV166" s="107" t="str">
        <f t="shared" ca="1" si="359"/>
        <v/>
      </c>
      <c r="AW166" s="107" t="str">
        <f t="shared" ca="1" si="360"/>
        <v/>
      </c>
      <c r="AX166" s="107" t="str">
        <f t="shared" ca="1" si="361"/>
        <v/>
      </c>
      <c r="AY166" s="108" t="str">
        <f t="shared" ca="1" si="362"/>
        <v/>
      </c>
      <c r="AZ166" s="108" t="str">
        <f t="shared" ca="1" si="363"/>
        <v/>
      </c>
      <c r="BA166" s="108" t="str">
        <f t="shared" ca="1" si="364"/>
        <v/>
      </c>
      <c r="BB166" s="108" t="str">
        <f t="shared" ca="1" si="365"/>
        <v/>
      </c>
      <c r="BC166" s="108" t="str">
        <f t="shared" ca="1" si="366"/>
        <v/>
      </c>
      <c r="BD166" s="109"/>
      <c r="BE166" s="109" t="str">
        <f t="shared" ca="1" si="367"/>
        <v/>
      </c>
      <c r="BF166" s="109" t="str">
        <f t="shared" ca="1" si="368"/>
        <v/>
      </c>
      <c r="BG166" s="109" t="str">
        <f t="shared" ca="1" si="369"/>
        <v/>
      </c>
      <c r="BH166" s="109"/>
      <c r="BI166" s="109">
        <f t="shared" si="329"/>
        <v>41.14</v>
      </c>
      <c r="BJ166" s="109">
        <f t="shared" si="330"/>
        <v>0.56999999999999995</v>
      </c>
      <c r="BK166" s="109">
        <f t="shared" si="331"/>
        <v>-0.02</v>
      </c>
      <c r="BL166" s="109"/>
      <c r="BM166" s="109">
        <f t="shared" si="339"/>
        <v>0.49372620689655172</v>
      </c>
      <c r="BN166" s="109">
        <f t="shared" si="340"/>
        <v>0.49268620689655174</v>
      </c>
      <c r="BO166" s="109">
        <f t="shared" si="341"/>
        <v>0.49258620689655175</v>
      </c>
      <c r="BP166" s="113">
        <f t="shared" si="342"/>
        <v>0.12035344895276373</v>
      </c>
      <c r="BQ166" s="113">
        <f t="shared" si="343"/>
        <v>0.1195216941705277</v>
      </c>
      <c r="BR166" s="113">
        <f t="shared" si="344"/>
        <v>0.11959450130048134</v>
      </c>
      <c r="BS166" s="113">
        <f t="shared" si="345"/>
        <v>0.11604479548025479</v>
      </c>
      <c r="BT166" s="113">
        <f t="shared" si="346"/>
        <v>0.1195216941705277</v>
      </c>
      <c r="BU166" s="113">
        <f t="shared" si="347"/>
        <v>9.865350412276705E-2</v>
      </c>
      <c r="BV166" s="255"/>
    </row>
    <row r="167" spans="2:74">
      <c r="B167" s="7"/>
      <c r="C167" s="7"/>
      <c r="D167" s="7"/>
      <c r="E167" s="7"/>
      <c r="F167" s="7"/>
      <c r="G167" s="7"/>
      <c r="H167" s="7"/>
      <c r="I167" s="7"/>
      <c r="J167" s="7"/>
      <c r="K167" s="7"/>
      <c r="L167" s="7"/>
      <c r="M167" s="7"/>
      <c r="N167" s="7"/>
      <c r="O167" s="7"/>
      <c r="P167" s="7"/>
      <c r="Q167" s="7"/>
      <c r="R167" s="64"/>
      <c r="S167" s="64"/>
      <c r="T167" s="64"/>
      <c r="U167" s="64"/>
      <c r="V167" s="64"/>
      <c r="W167" s="64"/>
      <c r="X167" s="64"/>
      <c r="Y167" s="64"/>
      <c r="Z167" s="64"/>
      <c r="AA167" s="64"/>
      <c r="AB167" s="64"/>
      <c r="AC167" s="64"/>
      <c r="AD167" s="64"/>
      <c r="AE167" s="134"/>
      <c r="AF167" s="134"/>
      <c r="AG167" s="112">
        <f t="shared" ca="1" si="348"/>
        <v>60.65</v>
      </c>
      <c r="AH167" s="112">
        <f t="shared" ca="1" si="348"/>
        <v>13.25</v>
      </c>
      <c r="AI167" s="112">
        <f t="shared" ca="1" si="348"/>
        <v>29.21</v>
      </c>
      <c r="AJ167" s="112">
        <f t="shared" si="337"/>
        <v>63</v>
      </c>
      <c r="AK167" s="112">
        <f t="shared" ca="1" si="349"/>
        <v>0.68727586206896552</v>
      </c>
      <c r="AL167" s="112">
        <f t="shared" ca="1" si="350"/>
        <v>0.51472586206896553</v>
      </c>
      <c r="AM167" s="112">
        <f t="shared" ca="1" si="351"/>
        <v>0.66077586206896555</v>
      </c>
      <c r="AN167" s="112">
        <f t="shared" ca="1" si="352"/>
        <v>0.32463345489733075</v>
      </c>
      <c r="AO167" s="112">
        <f t="shared" ca="1" si="353"/>
        <v>0.28851108890342475</v>
      </c>
      <c r="AP167" s="112">
        <f t="shared" ca="1" si="354"/>
        <v>0.13637286639035232</v>
      </c>
      <c r="AQ167" s="112">
        <f t="shared" ca="1" si="355"/>
        <v>0.31301157721200629</v>
      </c>
      <c r="AR167" s="112">
        <f t="shared" ca="1" si="356"/>
        <v>0.28851108890342475</v>
      </c>
      <c r="AS167" s="112">
        <f t="shared" ca="1" si="357"/>
        <v>0.11249397748540162</v>
      </c>
      <c r="AT167" s="159"/>
      <c r="AU167" s="107" t="str">
        <f t="shared" ca="1" si="358"/>
        <v/>
      </c>
      <c r="AV167" s="107" t="str">
        <f t="shared" ca="1" si="359"/>
        <v/>
      </c>
      <c r="AW167" s="107" t="str">
        <f t="shared" ca="1" si="360"/>
        <v/>
      </c>
      <c r="AX167" s="107" t="str">
        <f t="shared" ca="1" si="361"/>
        <v/>
      </c>
      <c r="AY167" s="108" t="str">
        <f t="shared" ca="1" si="362"/>
        <v/>
      </c>
      <c r="AZ167" s="108" t="str">
        <f t="shared" ca="1" si="363"/>
        <v/>
      </c>
      <c r="BA167" s="108" t="str">
        <f t="shared" ca="1" si="364"/>
        <v/>
      </c>
      <c r="BB167" s="108" t="str">
        <f t="shared" ca="1" si="365"/>
        <v/>
      </c>
      <c r="BC167" s="108" t="str">
        <f t="shared" ca="1" si="366"/>
        <v/>
      </c>
      <c r="BD167" s="109"/>
      <c r="BE167" s="109" t="str">
        <f t="shared" ca="1" si="367"/>
        <v/>
      </c>
      <c r="BF167" s="109" t="str">
        <f t="shared" ca="1" si="368"/>
        <v/>
      </c>
      <c r="BG167" s="109" t="str">
        <f t="shared" ca="1" si="369"/>
        <v/>
      </c>
      <c r="BH167" s="109"/>
      <c r="BI167" s="109">
        <f t="shared" si="329"/>
        <v>60.65</v>
      </c>
      <c r="BJ167" s="109">
        <f t="shared" si="330"/>
        <v>13.25</v>
      </c>
      <c r="BK167" s="109">
        <f t="shared" si="331"/>
        <v>29.21</v>
      </c>
      <c r="BL167" s="109"/>
      <c r="BM167" s="109">
        <f t="shared" si="339"/>
        <v>0.68727586206896552</v>
      </c>
      <c r="BN167" s="109">
        <f t="shared" si="340"/>
        <v>0.51472586206896553</v>
      </c>
      <c r="BO167" s="109">
        <f t="shared" si="341"/>
        <v>0.66077586206896555</v>
      </c>
      <c r="BP167" s="113">
        <f t="shared" si="342"/>
        <v>0.32463345489733075</v>
      </c>
      <c r="BQ167" s="113">
        <f t="shared" si="343"/>
        <v>0.28851108890342475</v>
      </c>
      <c r="BR167" s="113">
        <f t="shared" si="344"/>
        <v>0.13637286639035232</v>
      </c>
      <c r="BS167" s="113">
        <f t="shared" si="345"/>
        <v>0.31301157721200629</v>
      </c>
      <c r="BT167" s="113">
        <f t="shared" si="346"/>
        <v>0.28851108890342475</v>
      </c>
      <c r="BU167" s="113">
        <f t="shared" si="347"/>
        <v>0.11249397748540162</v>
      </c>
      <c r="BV167" s="255"/>
    </row>
    <row r="168" spans="2:74">
      <c r="B168" s="7"/>
      <c r="C168" s="7"/>
      <c r="D168" s="7"/>
      <c r="E168" s="7"/>
      <c r="F168" s="7"/>
      <c r="G168" s="7"/>
      <c r="H168" s="7"/>
      <c r="I168" s="7"/>
      <c r="J168" s="7"/>
      <c r="K168" s="7"/>
      <c r="L168" s="7"/>
      <c r="M168" s="7"/>
      <c r="N168" s="7"/>
      <c r="O168" s="7"/>
      <c r="P168" s="7"/>
      <c r="Q168" s="7"/>
      <c r="R168" s="64"/>
      <c r="S168" s="64"/>
      <c r="T168" s="64"/>
      <c r="U168" s="64"/>
      <c r="V168" s="64"/>
      <c r="W168" s="64"/>
      <c r="X168" s="64"/>
      <c r="Y168" s="64"/>
      <c r="Z168" s="64"/>
      <c r="AA168" s="64"/>
      <c r="AB168" s="64"/>
      <c r="AC168" s="64"/>
      <c r="AD168" s="64"/>
      <c r="AE168" s="134"/>
      <c r="AF168" s="134"/>
      <c r="AG168" s="112">
        <f t="shared" ca="1" si="348"/>
        <v>33.65</v>
      </c>
      <c r="AH168" s="112">
        <f t="shared" ca="1" si="348"/>
        <v>0.82</v>
      </c>
      <c r="AI168" s="112">
        <f t="shared" ca="1" si="348"/>
        <v>1.74</v>
      </c>
      <c r="AJ168" s="112">
        <f t="shared" si="337"/>
        <v>64</v>
      </c>
      <c r="AK168" s="112">
        <f t="shared" ca="1" si="349"/>
        <v>0.42965724137931033</v>
      </c>
      <c r="AL168" s="112">
        <f t="shared" ca="1" si="350"/>
        <v>0.41931724137931037</v>
      </c>
      <c r="AM168" s="112">
        <f t="shared" ca="1" si="351"/>
        <v>0.42801724137931035</v>
      </c>
      <c r="AN168" s="112">
        <f t="shared" ca="1" si="352"/>
        <v>7.9317023306513912E-2</v>
      </c>
      <c r="AO168" s="112">
        <f t="shared" ca="1" si="353"/>
        <v>7.8412227416176344E-2</v>
      </c>
      <c r="AP168" s="112">
        <f t="shared" ca="1" si="354"/>
        <v>7.3727271180417747E-2</v>
      </c>
      <c r="AQ168" s="112">
        <f t="shared" ca="1" si="355"/>
        <v>7.6477473872140711E-2</v>
      </c>
      <c r="AR168" s="112">
        <f t="shared" ca="1" si="356"/>
        <v>7.8412227416176344E-2</v>
      </c>
      <c r="AS168" s="112">
        <f t="shared" ca="1" si="357"/>
        <v>6.0817625996726597E-2</v>
      </c>
      <c r="AT168" s="159"/>
      <c r="AU168" s="107" t="str">
        <f t="shared" ca="1" si="358"/>
        <v/>
      </c>
      <c r="AV168" s="107" t="str">
        <f t="shared" ca="1" si="359"/>
        <v/>
      </c>
      <c r="AW168" s="107" t="str">
        <f t="shared" ca="1" si="360"/>
        <v/>
      </c>
      <c r="AX168" s="107" t="str">
        <f t="shared" ca="1" si="361"/>
        <v/>
      </c>
      <c r="AY168" s="108" t="str">
        <f t="shared" ca="1" si="362"/>
        <v/>
      </c>
      <c r="AZ168" s="108" t="str">
        <f t="shared" ca="1" si="363"/>
        <v/>
      </c>
      <c r="BA168" s="108" t="str">
        <f t="shared" ca="1" si="364"/>
        <v/>
      </c>
      <c r="BB168" s="108" t="str">
        <f t="shared" ca="1" si="365"/>
        <v/>
      </c>
      <c r="BC168" s="108" t="str">
        <f t="shared" ca="1" si="366"/>
        <v/>
      </c>
      <c r="BD168" s="109"/>
      <c r="BE168" s="109" t="str">
        <f t="shared" ca="1" si="367"/>
        <v/>
      </c>
      <c r="BF168" s="109" t="str">
        <f t="shared" ca="1" si="368"/>
        <v/>
      </c>
      <c r="BG168" s="109" t="str">
        <f t="shared" ca="1" si="369"/>
        <v/>
      </c>
      <c r="BH168" s="109"/>
      <c r="BI168" s="109">
        <f t="shared" si="329"/>
        <v>33.65</v>
      </c>
      <c r="BJ168" s="109">
        <f t="shared" si="330"/>
        <v>0.82</v>
      </c>
      <c r="BK168" s="109">
        <f t="shared" si="331"/>
        <v>1.74</v>
      </c>
      <c r="BL168" s="109"/>
      <c r="BM168" s="109">
        <f t="shared" si="339"/>
        <v>0.42965724137931033</v>
      </c>
      <c r="BN168" s="109">
        <f t="shared" si="340"/>
        <v>0.41931724137931037</v>
      </c>
      <c r="BO168" s="109">
        <f t="shared" si="341"/>
        <v>0.42801724137931035</v>
      </c>
      <c r="BP168" s="113">
        <f t="shared" si="342"/>
        <v>7.9317023306513912E-2</v>
      </c>
      <c r="BQ168" s="113">
        <f t="shared" si="343"/>
        <v>7.8412227416176344E-2</v>
      </c>
      <c r="BR168" s="113">
        <f t="shared" si="344"/>
        <v>7.3727271180417747E-2</v>
      </c>
      <c r="BS168" s="113">
        <f t="shared" si="345"/>
        <v>7.6477473872140711E-2</v>
      </c>
      <c r="BT168" s="113">
        <f t="shared" si="346"/>
        <v>7.8412227416176344E-2</v>
      </c>
      <c r="BU168" s="113">
        <f t="shared" si="347"/>
        <v>6.0817625996726597E-2</v>
      </c>
      <c r="BV168" s="255"/>
    </row>
    <row r="169" spans="2:74">
      <c r="B169" s="7"/>
      <c r="C169" s="7"/>
      <c r="D169" s="7"/>
      <c r="E169" s="7"/>
      <c r="F169" s="7"/>
      <c r="G169" s="7"/>
      <c r="H169" s="7"/>
      <c r="I169" s="7"/>
      <c r="J169" s="7"/>
      <c r="K169" s="7"/>
      <c r="L169" s="7"/>
      <c r="M169" s="7"/>
      <c r="N169" s="7"/>
      <c r="O169" s="7"/>
      <c r="P169" s="7"/>
      <c r="Q169" s="7"/>
      <c r="R169" s="64"/>
      <c r="S169" s="64"/>
      <c r="T169" s="64"/>
      <c r="U169" s="64"/>
      <c r="V169" s="64"/>
      <c r="W169" s="64"/>
      <c r="X169" s="64"/>
      <c r="Y169" s="64"/>
      <c r="Z169" s="64"/>
      <c r="AA169" s="64"/>
      <c r="AB169" s="64"/>
      <c r="AC169" s="64"/>
      <c r="AD169" s="64"/>
      <c r="AE169" s="134"/>
      <c r="AF169" s="134"/>
      <c r="AG169" s="112">
        <f t="shared" ca="1" si="348"/>
        <v>34.979999999999997</v>
      </c>
      <c r="AH169" s="112">
        <f t="shared" ca="1" si="348"/>
        <v>0.79</v>
      </c>
      <c r="AI169" s="112">
        <f t="shared" ca="1" si="348"/>
        <v>-0.4</v>
      </c>
      <c r="AJ169" s="112">
        <f t="shared" si="337"/>
        <v>65</v>
      </c>
      <c r="AK169" s="112">
        <f t="shared" ca="1" si="349"/>
        <v>0.44106275862068967</v>
      </c>
      <c r="AL169" s="112">
        <f t="shared" ca="1" si="350"/>
        <v>0.44148275862068964</v>
      </c>
      <c r="AM169" s="112">
        <f t="shared" ca="1" si="351"/>
        <v>0.43948275862068964</v>
      </c>
      <c r="AN169" s="112">
        <f t="shared" ca="1" si="352"/>
        <v>8.5802742289004863E-2</v>
      </c>
      <c r="AO169" s="112">
        <f t="shared" ca="1" si="353"/>
        <v>8.4883939219525181E-2</v>
      </c>
      <c r="AP169" s="112">
        <f t="shared" ca="1" si="354"/>
        <v>8.6048091583377742E-2</v>
      </c>
      <c r="AQ169" s="112">
        <f t="shared" ca="1" si="355"/>
        <v>8.2731004115058487E-2</v>
      </c>
      <c r="AR169" s="112">
        <f t="shared" ca="1" si="356"/>
        <v>8.4883939219525181E-2</v>
      </c>
      <c r="AS169" s="112">
        <f t="shared" ca="1" si="357"/>
        <v>7.0981070747128297E-2</v>
      </c>
      <c r="AT169" s="159"/>
      <c r="AU169" s="107" t="str">
        <f t="shared" ca="1" si="358"/>
        <v/>
      </c>
      <c r="AV169" s="107" t="str">
        <f t="shared" ca="1" si="359"/>
        <v/>
      </c>
      <c r="AW169" s="107" t="str">
        <f t="shared" ca="1" si="360"/>
        <v/>
      </c>
      <c r="AX169" s="107" t="str">
        <f t="shared" ca="1" si="361"/>
        <v/>
      </c>
      <c r="AY169" s="108" t="str">
        <f t="shared" ca="1" si="362"/>
        <v/>
      </c>
      <c r="AZ169" s="108" t="str">
        <f t="shared" ca="1" si="363"/>
        <v/>
      </c>
      <c r="BA169" s="108" t="str">
        <f t="shared" ca="1" si="364"/>
        <v/>
      </c>
      <c r="BB169" s="108" t="str">
        <f t="shared" ca="1" si="365"/>
        <v/>
      </c>
      <c r="BC169" s="108" t="str">
        <f t="shared" ca="1" si="366"/>
        <v/>
      </c>
      <c r="BD169" s="109"/>
      <c r="BE169" s="109" t="str">
        <f t="shared" ca="1" si="367"/>
        <v/>
      </c>
      <c r="BF169" s="109" t="str">
        <f t="shared" ca="1" si="368"/>
        <v/>
      </c>
      <c r="BG169" s="109" t="str">
        <f t="shared" ca="1" si="369"/>
        <v/>
      </c>
      <c r="BH169" s="109"/>
      <c r="BI169" s="109">
        <f t="shared" ref="BI169:BI188" si="370">H100</f>
        <v>34.979999999999997</v>
      </c>
      <c r="BJ169" s="109">
        <f t="shared" ref="BJ169:BJ188" si="371">I100</f>
        <v>0.79</v>
      </c>
      <c r="BK169" s="109">
        <f t="shared" ref="BK169:BK188" si="372">J100</f>
        <v>-0.4</v>
      </c>
      <c r="BL169" s="109"/>
      <c r="BM169" s="109">
        <f t="shared" si="339"/>
        <v>0.44106275862068967</v>
      </c>
      <c r="BN169" s="109">
        <f t="shared" si="340"/>
        <v>0.44148275862068964</v>
      </c>
      <c r="BO169" s="109">
        <f t="shared" si="341"/>
        <v>0.43948275862068964</v>
      </c>
      <c r="BP169" s="113">
        <f t="shared" si="342"/>
        <v>8.5802742289004863E-2</v>
      </c>
      <c r="BQ169" s="113">
        <f t="shared" si="343"/>
        <v>8.4883939219525181E-2</v>
      </c>
      <c r="BR169" s="113">
        <f t="shared" si="344"/>
        <v>8.6048091583377742E-2</v>
      </c>
      <c r="BS169" s="113">
        <f t="shared" si="345"/>
        <v>8.2731004115058487E-2</v>
      </c>
      <c r="BT169" s="113">
        <f t="shared" si="346"/>
        <v>8.4883939219525181E-2</v>
      </c>
      <c r="BU169" s="113">
        <f t="shared" si="347"/>
        <v>7.0981070747128297E-2</v>
      </c>
      <c r="BV169" s="255"/>
    </row>
    <row r="170" spans="2:74">
      <c r="B170" s="7"/>
      <c r="C170" s="7"/>
      <c r="D170" s="7"/>
      <c r="E170" s="7"/>
      <c r="F170" s="7"/>
      <c r="G170" s="7"/>
      <c r="H170" s="7"/>
      <c r="I170" s="7"/>
      <c r="J170" s="7"/>
      <c r="K170" s="7"/>
      <c r="L170" s="7"/>
      <c r="M170" s="7"/>
      <c r="N170" s="7"/>
      <c r="O170" s="7"/>
      <c r="P170" s="7"/>
      <c r="Q170" s="7"/>
      <c r="R170" s="64"/>
      <c r="S170" s="64"/>
      <c r="T170" s="64"/>
      <c r="U170" s="64"/>
      <c r="V170" s="64"/>
      <c r="W170" s="64"/>
      <c r="X170" s="64"/>
      <c r="Y170" s="64"/>
      <c r="Z170" s="64"/>
      <c r="AA170" s="64"/>
      <c r="AB170" s="64"/>
      <c r="AC170" s="64"/>
      <c r="AD170" s="64"/>
      <c r="AE170" s="134"/>
      <c r="AF170" s="134"/>
      <c r="AG170" s="112">
        <f t="shared" ca="1" si="348"/>
        <v>51.58</v>
      </c>
      <c r="AH170" s="112">
        <f t="shared" ca="1" si="348"/>
        <v>31.31</v>
      </c>
      <c r="AI170" s="112">
        <f t="shared" ca="1" si="348"/>
        <v>19.809999999999999</v>
      </c>
      <c r="AJ170" s="112">
        <f t="shared" si="337"/>
        <v>66</v>
      </c>
      <c r="AK170" s="112">
        <f t="shared" ca="1" si="349"/>
        <v>0.64520620689655173</v>
      </c>
      <c r="AL170" s="112">
        <f t="shared" ca="1" si="350"/>
        <v>0.48353620689655175</v>
      </c>
      <c r="AM170" s="112">
        <f t="shared" ca="1" si="351"/>
        <v>0.58258620689655172</v>
      </c>
      <c r="AN170" s="112">
        <f t="shared" ca="1" si="352"/>
        <v>0.26859356895986686</v>
      </c>
      <c r="AO170" s="112">
        <f t="shared" ca="1" si="353"/>
        <v>0.19773365522879166</v>
      </c>
      <c r="AP170" s="112">
        <f t="shared" ca="1" si="354"/>
        <v>0.11305427727958227</v>
      </c>
      <c r="AQ170" s="112">
        <f t="shared" ca="1" si="355"/>
        <v>0.25897791919110363</v>
      </c>
      <c r="AR170" s="112">
        <f t="shared" ca="1" si="356"/>
        <v>0.19773365522879166</v>
      </c>
      <c r="AS170" s="112">
        <f t="shared" ca="1" si="357"/>
        <v>9.3258473327927416E-2</v>
      </c>
      <c r="AT170" s="159"/>
      <c r="AU170" s="107" t="str">
        <f t="shared" ca="1" si="358"/>
        <v/>
      </c>
      <c r="AV170" s="107" t="str">
        <f t="shared" ca="1" si="359"/>
        <v/>
      </c>
      <c r="AW170" s="107" t="str">
        <f t="shared" ca="1" si="360"/>
        <v/>
      </c>
      <c r="AX170" s="107" t="str">
        <f t="shared" ca="1" si="361"/>
        <v/>
      </c>
      <c r="AY170" s="108" t="str">
        <f t="shared" ca="1" si="362"/>
        <v/>
      </c>
      <c r="AZ170" s="108" t="str">
        <f t="shared" ca="1" si="363"/>
        <v/>
      </c>
      <c r="BA170" s="108" t="str">
        <f t="shared" ca="1" si="364"/>
        <v/>
      </c>
      <c r="BB170" s="108" t="str">
        <f t="shared" ca="1" si="365"/>
        <v/>
      </c>
      <c r="BC170" s="108" t="str">
        <f t="shared" ca="1" si="366"/>
        <v/>
      </c>
      <c r="BD170" s="109"/>
      <c r="BE170" s="109" t="str">
        <f t="shared" ca="1" si="367"/>
        <v/>
      </c>
      <c r="BF170" s="109" t="str">
        <f t="shared" ca="1" si="368"/>
        <v/>
      </c>
      <c r="BG170" s="109" t="str">
        <f t="shared" ca="1" si="369"/>
        <v/>
      </c>
      <c r="BH170" s="109"/>
      <c r="BI170" s="109">
        <f t="shared" si="370"/>
        <v>51.58</v>
      </c>
      <c r="BJ170" s="109">
        <f t="shared" si="371"/>
        <v>31.31</v>
      </c>
      <c r="BK170" s="109">
        <f t="shared" si="372"/>
        <v>19.809999999999999</v>
      </c>
      <c r="BL170" s="109"/>
      <c r="BM170" s="109">
        <f t="shared" si="339"/>
        <v>0.64520620689655173</v>
      </c>
      <c r="BN170" s="109">
        <f t="shared" si="340"/>
        <v>0.48353620689655175</v>
      </c>
      <c r="BO170" s="109">
        <f t="shared" si="341"/>
        <v>0.58258620689655172</v>
      </c>
      <c r="BP170" s="113">
        <f t="shared" si="342"/>
        <v>0.26859356895986686</v>
      </c>
      <c r="BQ170" s="113">
        <f t="shared" si="343"/>
        <v>0.19773365522879166</v>
      </c>
      <c r="BR170" s="113">
        <f t="shared" si="344"/>
        <v>0.11305427727958227</v>
      </c>
      <c r="BS170" s="113">
        <f t="shared" si="345"/>
        <v>0.25897791919110363</v>
      </c>
      <c r="BT170" s="113">
        <f t="shared" si="346"/>
        <v>0.19773365522879166</v>
      </c>
      <c r="BU170" s="113">
        <f t="shared" si="347"/>
        <v>9.3258473327927416E-2</v>
      </c>
      <c r="BV170" s="255"/>
    </row>
    <row r="171" spans="2:74">
      <c r="B171" s="7"/>
      <c r="C171" s="7"/>
      <c r="D171" s="7"/>
      <c r="E171" s="7"/>
      <c r="F171" s="7"/>
      <c r="G171" s="7"/>
      <c r="H171" s="7"/>
      <c r="I171" s="7"/>
      <c r="J171" s="7"/>
      <c r="K171" s="7"/>
      <c r="L171" s="7"/>
      <c r="M171" s="7"/>
      <c r="N171" s="7"/>
      <c r="O171" s="7"/>
      <c r="P171" s="7"/>
      <c r="Q171" s="7"/>
      <c r="R171" s="64"/>
      <c r="S171" s="64"/>
      <c r="T171" s="64"/>
      <c r="U171" s="64"/>
      <c r="V171" s="64"/>
      <c r="W171" s="64"/>
      <c r="X171" s="64"/>
      <c r="Y171" s="64"/>
      <c r="Z171" s="64"/>
      <c r="AA171" s="64"/>
      <c r="AB171" s="64"/>
      <c r="AC171" s="64"/>
      <c r="AD171" s="64"/>
      <c r="AE171" s="134"/>
      <c r="AF171" s="134"/>
      <c r="AG171" s="112">
        <f t="shared" ca="1" si="348"/>
        <v>30</v>
      </c>
      <c r="AH171" s="112">
        <f t="shared" ca="1" si="348"/>
        <v>1</v>
      </c>
      <c r="AI171" s="112">
        <f t="shared" ca="1" si="348"/>
        <v>2</v>
      </c>
      <c r="AJ171" s="112">
        <f t="shared" si="337"/>
        <v>67</v>
      </c>
      <c r="AK171" s="112">
        <f t="shared" ca="1" si="349"/>
        <v>0.39855172413793105</v>
      </c>
      <c r="AL171" s="112">
        <f t="shared" ca="1" si="350"/>
        <v>0.38655172413793104</v>
      </c>
      <c r="AM171" s="112">
        <f t="shared" ca="1" si="351"/>
        <v>0.39655172413793105</v>
      </c>
      <c r="AN171" s="112">
        <f t="shared" ca="1" si="352"/>
        <v>6.3307341552011162E-2</v>
      </c>
      <c r="AO171" s="112">
        <f t="shared" ca="1" si="353"/>
        <v>6.2359055311820913E-2</v>
      </c>
      <c r="AP171" s="112">
        <f t="shared" ca="1" si="354"/>
        <v>5.7759422731559318E-2</v>
      </c>
      <c r="AQ171" s="112">
        <f t="shared" ca="1" si="355"/>
        <v>6.1040938724449156E-2</v>
      </c>
      <c r="AR171" s="112">
        <f t="shared" ca="1" si="356"/>
        <v>6.2359055311820913E-2</v>
      </c>
      <c r="AS171" s="112">
        <f t="shared" ca="1" si="357"/>
        <v>4.7645747811263281E-2</v>
      </c>
      <c r="AT171" s="159"/>
      <c r="AU171" s="107" t="str">
        <f t="shared" ca="1" si="358"/>
        <v/>
      </c>
      <c r="AV171" s="107" t="str">
        <f t="shared" ca="1" si="359"/>
        <v/>
      </c>
      <c r="AW171" s="107" t="str">
        <f t="shared" ca="1" si="360"/>
        <v/>
      </c>
      <c r="AX171" s="107" t="str">
        <f t="shared" ca="1" si="361"/>
        <v/>
      </c>
      <c r="AY171" s="108" t="str">
        <f t="shared" ca="1" si="362"/>
        <v/>
      </c>
      <c r="AZ171" s="108" t="str">
        <f t="shared" ca="1" si="363"/>
        <v/>
      </c>
      <c r="BA171" s="108" t="str">
        <f t="shared" ca="1" si="364"/>
        <v/>
      </c>
      <c r="BB171" s="108" t="str">
        <f t="shared" ca="1" si="365"/>
        <v/>
      </c>
      <c r="BC171" s="108" t="str">
        <f t="shared" ca="1" si="366"/>
        <v/>
      </c>
      <c r="BD171" s="109"/>
      <c r="BE171" s="109" t="str">
        <f t="shared" ca="1" si="367"/>
        <v/>
      </c>
      <c r="BF171" s="109" t="str">
        <f t="shared" ca="1" si="368"/>
        <v/>
      </c>
      <c r="BG171" s="109" t="str">
        <f t="shared" ca="1" si="369"/>
        <v/>
      </c>
      <c r="BH171" s="109"/>
      <c r="BI171" s="109">
        <f t="shared" si="370"/>
        <v>30</v>
      </c>
      <c r="BJ171" s="109">
        <f t="shared" si="371"/>
        <v>1</v>
      </c>
      <c r="BK171" s="109">
        <f t="shared" si="372"/>
        <v>2</v>
      </c>
      <c r="BL171" s="109"/>
      <c r="BM171" s="109">
        <f t="shared" si="339"/>
        <v>0.39855172413793105</v>
      </c>
      <c r="BN171" s="109">
        <f t="shared" si="340"/>
        <v>0.38655172413793104</v>
      </c>
      <c r="BO171" s="109">
        <f t="shared" si="341"/>
        <v>0.39655172413793105</v>
      </c>
      <c r="BP171" s="113">
        <f t="shared" si="342"/>
        <v>6.3307341552011162E-2</v>
      </c>
      <c r="BQ171" s="113">
        <f t="shared" si="343"/>
        <v>6.2359055311820913E-2</v>
      </c>
      <c r="BR171" s="113">
        <f t="shared" si="344"/>
        <v>5.7759422731559318E-2</v>
      </c>
      <c r="BS171" s="113">
        <f t="shared" si="345"/>
        <v>6.1040938724449156E-2</v>
      </c>
      <c r="BT171" s="113">
        <f t="shared" si="346"/>
        <v>6.2359055311820913E-2</v>
      </c>
      <c r="BU171" s="113">
        <f t="shared" si="347"/>
        <v>4.7645747811263281E-2</v>
      </c>
      <c r="BV171" s="255"/>
    </row>
    <row r="172" spans="2:74">
      <c r="B172" s="7"/>
      <c r="C172" s="7"/>
      <c r="D172" s="7"/>
      <c r="E172" s="7"/>
      <c r="F172" s="7"/>
      <c r="G172" s="7"/>
      <c r="H172" s="7"/>
      <c r="I172" s="7"/>
      <c r="J172" s="7"/>
      <c r="K172" s="7"/>
      <c r="L172" s="7"/>
      <c r="M172" s="7"/>
      <c r="N172" s="7"/>
      <c r="O172" s="7"/>
      <c r="P172" s="7"/>
      <c r="Q172" s="7"/>
      <c r="R172" s="64"/>
      <c r="S172" s="64"/>
      <c r="T172" s="64"/>
      <c r="U172" s="64"/>
      <c r="V172" s="64"/>
      <c r="W172" s="64"/>
      <c r="X172" s="64"/>
      <c r="Y172" s="64"/>
      <c r="Z172" s="64"/>
      <c r="AA172" s="64"/>
      <c r="AB172" s="64"/>
      <c r="AC172" s="64"/>
      <c r="AD172" s="64"/>
      <c r="AE172" s="134"/>
      <c r="AF172" s="134"/>
      <c r="AG172" s="112">
        <f t="shared" ca="1" si="348"/>
        <v>32</v>
      </c>
      <c r="AH172" s="112">
        <f t="shared" ca="1" si="348"/>
        <v>1.0000000000000001E-5</v>
      </c>
      <c r="AI172" s="112">
        <f t="shared" ca="1" si="348"/>
        <v>1.0000000000000001E-5</v>
      </c>
      <c r="AJ172" s="112">
        <f t="shared" si="337"/>
        <v>68</v>
      </c>
      <c r="AK172" s="112">
        <f t="shared" ca="1" si="349"/>
        <v>0.41379312344827585</v>
      </c>
      <c r="AL172" s="112">
        <f t="shared" ca="1" si="350"/>
        <v>0.41379305344827588</v>
      </c>
      <c r="AM172" s="112">
        <f t="shared" ca="1" si="351"/>
        <v>0.41379310344827586</v>
      </c>
      <c r="AN172" s="112">
        <f t="shared" ca="1" si="352"/>
        <v>7.0851623705769473E-2</v>
      </c>
      <c r="AO172" s="112">
        <f t="shared" ca="1" si="353"/>
        <v>7.0851613432285049E-2</v>
      </c>
      <c r="AP172" s="112">
        <f t="shared" ca="1" si="354"/>
        <v>7.085158774857829E-2</v>
      </c>
      <c r="AQ172" s="112">
        <f t="shared" ca="1" si="355"/>
        <v>6.831513557710292E-2</v>
      </c>
      <c r="AR172" s="112">
        <f t="shared" ca="1" si="356"/>
        <v>7.0851613432285049E-2</v>
      </c>
      <c r="AS172" s="112">
        <f t="shared" ca="1" si="357"/>
        <v>5.8445474733802232E-2</v>
      </c>
      <c r="AT172" s="159"/>
      <c r="AU172" s="107" t="str">
        <f t="shared" ca="1" si="358"/>
        <v/>
      </c>
      <c r="AV172" s="107" t="str">
        <f t="shared" ca="1" si="359"/>
        <v/>
      </c>
      <c r="AW172" s="107" t="str">
        <f t="shared" ca="1" si="360"/>
        <v/>
      </c>
      <c r="AX172" s="107" t="str">
        <f t="shared" ca="1" si="361"/>
        <v/>
      </c>
      <c r="AY172" s="108" t="str">
        <f t="shared" ca="1" si="362"/>
        <v/>
      </c>
      <c r="AZ172" s="108" t="str">
        <f t="shared" ca="1" si="363"/>
        <v/>
      </c>
      <c r="BA172" s="108" t="str">
        <f t="shared" ca="1" si="364"/>
        <v/>
      </c>
      <c r="BB172" s="108" t="str">
        <f t="shared" ca="1" si="365"/>
        <v/>
      </c>
      <c r="BC172" s="108" t="str">
        <f t="shared" ca="1" si="366"/>
        <v/>
      </c>
      <c r="BD172" s="109"/>
      <c r="BE172" s="109" t="str">
        <f t="shared" ca="1" si="367"/>
        <v/>
      </c>
      <c r="BF172" s="109" t="str">
        <f t="shared" ca="1" si="368"/>
        <v/>
      </c>
      <c r="BG172" s="109" t="str">
        <f t="shared" ca="1" si="369"/>
        <v/>
      </c>
      <c r="BH172" s="109"/>
      <c r="BI172" s="109">
        <f t="shared" si="370"/>
        <v>32</v>
      </c>
      <c r="BJ172" s="109">
        <f t="shared" si="371"/>
        <v>1.0000000000000001E-5</v>
      </c>
      <c r="BK172" s="109">
        <f t="shared" si="372"/>
        <v>1.0000000000000001E-5</v>
      </c>
      <c r="BL172" s="109"/>
      <c r="BM172" s="109">
        <f t="shared" si="339"/>
        <v>0.41379312344827585</v>
      </c>
      <c r="BN172" s="109">
        <f t="shared" si="340"/>
        <v>0.41379305344827588</v>
      </c>
      <c r="BO172" s="109">
        <f t="shared" si="341"/>
        <v>0.41379310344827586</v>
      </c>
      <c r="BP172" s="113">
        <f t="shared" si="342"/>
        <v>7.0851623705769473E-2</v>
      </c>
      <c r="BQ172" s="113">
        <f t="shared" si="343"/>
        <v>7.0851613432285049E-2</v>
      </c>
      <c r="BR172" s="113">
        <f t="shared" si="344"/>
        <v>7.085158774857829E-2</v>
      </c>
      <c r="BS172" s="113">
        <f t="shared" si="345"/>
        <v>6.831513557710292E-2</v>
      </c>
      <c r="BT172" s="113">
        <f t="shared" si="346"/>
        <v>7.0851613432285049E-2</v>
      </c>
      <c r="BU172" s="113">
        <f t="shared" si="347"/>
        <v>5.8445474733802232E-2</v>
      </c>
      <c r="BV172" s="255"/>
    </row>
    <row r="173" spans="2:74">
      <c r="B173" s="7"/>
      <c r="C173" s="7"/>
      <c r="D173" s="7"/>
      <c r="E173" s="7"/>
      <c r="F173" s="7"/>
      <c r="G173" s="7"/>
      <c r="H173" s="7"/>
      <c r="I173" s="7"/>
      <c r="J173" s="7"/>
      <c r="K173" s="7"/>
      <c r="L173" s="7"/>
      <c r="M173" s="7"/>
      <c r="N173" s="7"/>
      <c r="O173" s="7"/>
      <c r="P173" s="7"/>
      <c r="Q173" s="7"/>
      <c r="R173" s="64"/>
      <c r="S173" s="64"/>
      <c r="T173" s="64"/>
      <c r="U173" s="64"/>
      <c r="V173" s="64"/>
      <c r="W173" s="64"/>
      <c r="X173" s="64"/>
      <c r="Y173" s="64"/>
      <c r="Z173" s="64"/>
      <c r="AA173" s="64"/>
      <c r="AB173" s="64"/>
      <c r="AC173" s="64"/>
      <c r="AD173" s="64"/>
      <c r="AE173" s="134"/>
      <c r="AF173" s="134"/>
      <c r="AG173" s="112">
        <f t="shared" ca="1" si="348"/>
        <v>48.2</v>
      </c>
      <c r="AH173" s="112">
        <f t="shared" ca="1" si="348"/>
        <v>-11.37</v>
      </c>
      <c r="AI173" s="112">
        <f t="shared" ca="1" si="348"/>
        <v>8.8800000000000008</v>
      </c>
      <c r="AJ173" s="112">
        <f t="shared" si="337"/>
        <v>69</v>
      </c>
      <c r="AK173" s="112">
        <f t="shared" ca="1" si="349"/>
        <v>0.53070827586206903</v>
      </c>
      <c r="AL173" s="112">
        <f t="shared" ca="1" si="350"/>
        <v>0.50904827586206902</v>
      </c>
      <c r="AM173" s="112">
        <f t="shared" ca="1" si="351"/>
        <v>0.55344827586206902</v>
      </c>
      <c r="AN173" s="112">
        <f t="shared" ca="1" si="352"/>
        <v>0.14947466205524337</v>
      </c>
      <c r="AO173" s="112">
        <f t="shared" ca="1" si="353"/>
        <v>0.16952397084751328</v>
      </c>
      <c r="AP173" s="112">
        <f t="shared" ca="1" si="354"/>
        <v>0.131909754634738</v>
      </c>
      <c r="AQ173" s="112">
        <f t="shared" ca="1" si="355"/>
        <v>0.14412346915366564</v>
      </c>
      <c r="AR173" s="112">
        <f t="shared" ca="1" si="356"/>
        <v>0.16952397084751328</v>
      </c>
      <c r="AS173" s="112">
        <f t="shared" ca="1" si="357"/>
        <v>0.10881235659819537</v>
      </c>
      <c r="AT173" s="159"/>
      <c r="AU173" s="107" t="str">
        <f t="shared" ca="1" si="358"/>
        <v/>
      </c>
      <c r="AV173" s="107" t="str">
        <f t="shared" ca="1" si="359"/>
        <v/>
      </c>
      <c r="AW173" s="107" t="str">
        <f t="shared" ca="1" si="360"/>
        <v/>
      </c>
      <c r="AX173" s="107" t="str">
        <f t="shared" ca="1" si="361"/>
        <v/>
      </c>
      <c r="AY173" s="108" t="str">
        <f t="shared" ca="1" si="362"/>
        <v/>
      </c>
      <c r="AZ173" s="108" t="str">
        <f t="shared" ca="1" si="363"/>
        <v/>
      </c>
      <c r="BA173" s="108" t="str">
        <f t="shared" ca="1" si="364"/>
        <v/>
      </c>
      <c r="BB173" s="108" t="str">
        <f t="shared" ca="1" si="365"/>
        <v/>
      </c>
      <c r="BC173" s="108" t="str">
        <f t="shared" ca="1" si="366"/>
        <v/>
      </c>
      <c r="BD173" s="109"/>
      <c r="BE173" s="109" t="str">
        <f t="shared" ca="1" si="367"/>
        <v/>
      </c>
      <c r="BF173" s="109" t="str">
        <f t="shared" ca="1" si="368"/>
        <v/>
      </c>
      <c r="BG173" s="109" t="str">
        <f t="shared" ca="1" si="369"/>
        <v/>
      </c>
      <c r="BH173" s="109"/>
      <c r="BI173" s="109">
        <f t="shared" si="370"/>
        <v>48.2</v>
      </c>
      <c r="BJ173" s="109">
        <f t="shared" si="371"/>
        <v>-11.37</v>
      </c>
      <c r="BK173" s="109">
        <f t="shared" si="372"/>
        <v>8.8800000000000008</v>
      </c>
      <c r="BL173" s="109"/>
      <c r="BM173" s="109">
        <f t="shared" si="339"/>
        <v>0.53070827586206903</v>
      </c>
      <c r="BN173" s="109">
        <f t="shared" si="340"/>
        <v>0.50904827586206902</v>
      </c>
      <c r="BO173" s="109">
        <f t="shared" si="341"/>
        <v>0.55344827586206902</v>
      </c>
      <c r="BP173" s="113">
        <f t="shared" si="342"/>
        <v>0.14947466205524337</v>
      </c>
      <c r="BQ173" s="113">
        <f t="shared" si="343"/>
        <v>0.16952397084751328</v>
      </c>
      <c r="BR173" s="113">
        <f t="shared" si="344"/>
        <v>0.131909754634738</v>
      </c>
      <c r="BS173" s="113">
        <f t="shared" si="345"/>
        <v>0.14412346915366564</v>
      </c>
      <c r="BT173" s="113">
        <f t="shared" si="346"/>
        <v>0.16952397084751328</v>
      </c>
      <c r="BU173" s="113">
        <f t="shared" si="347"/>
        <v>0.10881235659819537</v>
      </c>
      <c r="BV173" s="255"/>
    </row>
    <row r="174" spans="2:74">
      <c r="B174" s="7"/>
      <c r="C174" s="7"/>
      <c r="D174" s="7"/>
      <c r="E174" s="7"/>
      <c r="F174" s="7"/>
      <c r="G174" s="7"/>
      <c r="H174" s="7"/>
      <c r="I174" s="7"/>
      <c r="J174" s="7"/>
      <c r="K174" s="7"/>
      <c r="L174" s="7"/>
      <c r="M174" s="7"/>
      <c r="N174" s="7"/>
      <c r="O174" s="7"/>
      <c r="P174" s="7"/>
      <c r="Q174" s="7"/>
      <c r="R174" s="64"/>
      <c r="S174" s="64"/>
      <c r="T174" s="64"/>
      <c r="U174" s="64"/>
      <c r="V174" s="64"/>
      <c r="W174" s="64"/>
      <c r="X174" s="64"/>
      <c r="Y174" s="64"/>
      <c r="Z174" s="64"/>
      <c r="AA174" s="64"/>
      <c r="AB174" s="64"/>
      <c r="AC174" s="64"/>
      <c r="AD174" s="64"/>
      <c r="AE174" s="134"/>
      <c r="AF174" s="134"/>
      <c r="AG174" s="112">
        <f t="shared" ca="1" si="348"/>
        <v>68.37</v>
      </c>
      <c r="AH174" s="112">
        <f t="shared" ca="1" si="348"/>
        <v>-9.6</v>
      </c>
      <c r="AI174" s="112">
        <f t="shared" ca="1" si="348"/>
        <v>-8.85</v>
      </c>
      <c r="AJ174" s="112">
        <f t="shared" si="337"/>
        <v>70</v>
      </c>
      <c r="AK174" s="112">
        <f t="shared" ca="1" si="349"/>
        <v>0.70812758620689664</v>
      </c>
      <c r="AL174" s="112">
        <f t="shared" ca="1" si="350"/>
        <v>0.77157758620689665</v>
      </c>
      <c r="AM174" s="112">
        <f t="shared" ca="1" si="351"/>
        <v>0.72732758620689664</v>
      </c>
      <c r="AN174" s="112">
        <f t="shared" ca="1" si="352"/>
        <v>0.35508680969430056</v>
      </c>
      <c r="AO174" s="112">
        <f t="shared" ca="1" si="353"/>
        <v>0.38476023351523758</v>
      </c>
      <c r="AP174" s="112">
        <f t="shared" ca="1" si="354"/>
        <v>0.45934480559020413</v>
      </c>
      <c r="AQ174" s="112">
        <f t="shared" ca="1" si="355"/>
        <v>0.34237470190724456</v>
      </c>
      <c r="AR174" s="112">
        <f t="shared" ca="1" si="356"/>
        <v>0.38476023351523758</v>
      </c>
      <c r="AS174" s="112">
        <f t="shared" ca="1" si="357"/>
        <v>0.37891353013135937</v>
      </c>
      <c r="AT174" s="159"/>
      <c r="AU174" s="107" t="str">
        <f t="shared" ca="1" si="358"/>
        <v/>
      </c>
      <c r="AV174" s="107" t="str">
        <f t="shared" ca="1" si="359"/>
        <v/>
      </c>
      <c r="AW174" s="107" t="str">
        <f t="shared" ca="1" si="360"/>
        <v/>
      </c>
      <c r="AX174" s="107" t="str">
        <f t="shared" ca="1" si="361"/>
        <v/>
      </c>
      <c r="AY174" s="108" t="str">
        <f t="shared" ca="1" si="362"/>
        <v/>
      </c>
      <c r="AZ174" s="108" t="str">
        <f t="shared" ca="1" si="363"/>
        <v/>
      </c>
      <c r="BA174" s="108" t="str">
        <f t="shared" ca="1" si="364"/>
        <v/>
      </c>
      <c r="BB174" s="108" t="str">
        <f t="shared" ca="1" si="365"/>
        <v/>
      </c>
      <c r="BC174" s="108" t="str">
        <f t="shared" ca="1" si="366"/>
        <v/>
      </c>
      <c r="BD174" s="109"/>
      <c r="BE174" s="109" t="str">
        <f t="shared" ca="1" si="367"/>
        <v/>
      </c>
      <c r="BF174" s="109" t="str">
        <f t="shared" ca="1" si="368"/>
        <v/>
      </c>
      <c r="BG174" s="109" t="str">
        <f t="shared" ca="1" si="369"/>
        <v/>
      </c>
      <c r="BH174" s="109"/>
      <c r="BI174" s="109">
        <f t="shared" si="370"/>
        <v>68.37</v>
      </c>
      <c r="BJ174" s="109">
        <f t="shared" si="371"/>
        <v>-9.6</v>
      </c>
      <c r="BK174" s="109">
        <f t="shared" si="372"/>
        <v>-8.85</v>
      </c>
      <c r="BL174" s="109"/>
      <c r="BM174" s="109">
        <f t="shared" si="339"/>
        <v>0.70812758620689664</v>
      </c>
      <c r="BN174" s="109">
        <f t="shared" si="340"/>
        <v>0.77157758620689665</v>
      </c>
      <c r="BO174" s="109">
        <f t="shared" si="341"/>
        <v>0.72732758620689664</v>
      </c>
      <c r="BP174" s="113">
        <f t="shared" si="342"/>
        <v>0.35508680969430056</v>
      </c>
      <c r="BQ174" s="113">
        <f t="shared" si="343"/>
        <v>0.38476023351523758</v>
      </c>
      <c r="BR174" s="113">
        <f t="shared" si="344"/>
        <v>0.45934480559020413</v>
      </c>
      <c r="BS174" s="113">
        <f t="shared" si="345"/>
        <v>0.34237470190724456</v>
      </c>
      <c r="BT174" s="113">
        <f t="shared" si="346"/>
        <v>0.38476023351523758</v>
      </c>
      <c r="BU174" s="113">
        <f t="shared" si="347"/>
        <v>0.37891353013135937</v>
      </c>
      <c r="BV174" s="255"/>
    </row>
    <row r="175" spans="2:74">
      <c r="B175" s="7"/>
      <c r="C175" s="7"/>
      <c r="D175" s="7"/>
      <c r="E175" s="7"/>
      <c r="F175" s="7"/>
      <c r="G175" s="7"/>
      <c r="H175" s="7"/>
      <c r="I175" s="7"/>
      <c r="J175" s="7"/>
      <c r="K175" s="7"/>
      <c r="L175" s="7"/>
      <c r="M175" s="7"/>
      <c r="N175" s="7"/>
      <c r="O175" s="7"/>
      <c r="P175" s="7"/>
      <c r="Q175" s="7"/>
      <c r="R175" s="64"/>
      <c r="S175" s="64"/>
      <c r="T175" s="64"/>
      <c r="U175" s="64"/>
      <c r="V175" s="64"/>
      <c r="W175" s="64"/>
      <c r="X175" s="64"/>
      <c r="Y175" s="64"/>
      <c r="Z175" s="64"/>
      <c r="AA175" s="64"/>
      <c r="AB175" s="64"/>
      <c r="AC175" s="64"/>
      <c r="AD175" s="64"/>
      <c r="AE175" s="134"/>
      <c r="AF175" s="134"/>
      <c r="AG175" s="112">
        <f t="shared" ca="1" si="348"/>
        <v>65.930000000000007</v>
      </c>
      <c r="AH175" s="112">
        <f t="shared" ca="1" si="348"/>
        <v>21.42</v>
      </c>
      <c r="AI175" s="112">
        <f t="shared" ca="1" si="348"/>
        <v>-0.52</v>
      </c>
      <c r="AJ175" s="112">
        <f t="shared" si="337"/>
        <v>71</v>
      </c>
      <c r="AK175" s="112">
        <f t="shared" ca="1" si="349"/>
        <v>0.74913310344827588</v>
      </c>
      <c r="AL175" s="112">
        <f t="shared" ca="1" si="350"/>
        <v>0.70889310344827594</v>
      </c>
      <c r="AM175" s="112">
        <f t="shared" ca="1" si="351"/>
        <v>0.70629310344827589</v>
      </c>
      <c r="AN175" s="112">
        <f t="shared" ca="1" si="352"/>
        <v>0.42041380231415504</v>
      </c>
      <c r="AO175" s="112">
        <f t="shared" ca="1" si="353"/>
        <v>0.35233427791281424</v>
      </c>
      <c r="AP175" s="112">
        <f t="shared" ca="1" si="354"/>
        <v>0.35623964870718527</v>
      </c>
      <c r="AQ175" s="112">
        <f t="shared" ca="1" si="355"/>
        <v>0.40536298819130828</v>
      </c>
      <c r="AR175" s="112">
        <f t="shared" ca="1" si="356"/>
        <v>0.35233427791281424</v>
      </c>
      <c r="AS175" s="112">
        <f t="shared" ca="1" si="357"/>
        <v>0.29386208621855714</v>
      </c>
      <c r="AT175" s="159"/>
      <c r="AU175" s="107" t="str">
        <f t="shared" ca="1" si="358"/>
        <v/>
      </c>
      <c r="AV175" s="107" t="str">
        <f t="shared" ca="1" si="359"/>
        <v/>
      </c>
      <c r="AW175" s="107" t="str">
        <f t="shared" ca="1" si="360"/>
        <v/>
      </c>
      <c r="AX175" s="107" t="str">
        <f t="shared" ca="1" si="361"/>
        <v/>
      </c>
      <c r="AY175" s="108" t="str">
        <f t="shared" ca="1" si="362"/>
        <v/>
      </c>
      <c r="AZ175" s="108" t="str">
        <f t="shared" ca="1" si="363"/>
        <v/>
      </c>
      <c r="BA175" s="108" t="str">
        <f t="shared" ca="1" si="364"/>
        <v/>
      </c>
      <c r="BB175" s="108" t="str">
        <f t="shared" ca="1" si="365"/>
        <v/>
      </c>
      <c r="BC175" s="108" t="str">
        <f t="shared" ca="1" si="366"/>
        <v/>
      </c>
      <c r="BD175" s="109"/>
      <c r="BE175" s="109" t="str">
        <f t="shared" ca="1" si="367"/>
        <v/>
      </c>
      <c r="BF175" s="109" t="str">
        <f t="shared" ca="1" si="368"/>
        <v/>
      </c>
      <c r="BG175" s="109" t="str">
        <f t="shared" ca="1" si="369"/>
        <v/>
      </c>
      <c r="BH175" s="109"/>
      <c r="BI175" s="109">
        <f t="shared" si="370"/>
        <v>65.930000000000007</v>
      </c>
      <c r="BJ175" s="109">
        <f t="shared" si="371"/>
        <v>21.42</v>
      </c>
      <c r="BK175" s="109">
        <f t="shared" si="372"/>
        <v>-0.52</v>
      </c>
      <c r="BL175" s="109"/>
      <c r="BM175" s="109">
        <f t="shared" si="339"/>
        <v>0.74913310344827588</v>
      </c>
      <c r="BN175" s="109">
        <f t="shared" si="340"/>
        <v>0.70889310344827594</v>
      </c>
      <c r="BO175" s="109">
        <f t="shared" si="341"/>
        <v>0.70629310344827589</v>
      </c>
      <c r="BP175" s="113">
        <f t="shared" si="342"/>
        <v>0.42041380231415504</v>
      </c>
      <c r="BQ175" s="113">
        <f t="shared" si="343"/>
        <v>0.35233427791281424</v>
      </c>
      <c r="BR175" s="113">
        <f t="shared" si="344"/>
        <v>0.35623964870718527</v>
      </c>
      <c r="BS175" s="113">
        <f t="shared" si="345"/>
        <v>0.40536298819130828</v>
      </c>
      <c r="BT175" s="113">
        <f t="shared" si="346"/>
        <v>0.35233427791281424</v>
      </c>
      <c r="BU175" s="113">
        <f t="shared" si="347"/>
        <v>0.29386208621855714</v>
      </c>
      <c r="BV175" s="255"/>
    </row>
    <row r="176" spans="2:74">
      <c r="B176" s="7"/>
      <c r="C176" s="7"/>
      <c r="D176" s="7"/>
      <c r="E176" s="7"/>
      <c r="F176" s="7"/>
      <c r="G176" s="7"/>
      <c r="H176" s="7"/>
      <c r="I176" s="7"/>
      <c r="J176" s="7"/>
      <c r="K176" s="7"/>
      <c r="L176" s="7"/>
      <c r="M176" s="7"/>
      <c r="N176" s="7"/>
      <c r="O176" s="7"/>
      <c r="P176" s="7"/>
      <c r="Q176" s="7"/>
      <c r="R176" s="64"/>
      <c r="S176" s="64"/>
      <c r="T176" s="64"/>
      <c r="U176" s="64"/>
      <c r="V176" s="64"/>
      <c r="W176" s="64"/>
      <c r="X176" s="64"/>
      <c r="Y176" s="64"/>
      <c r="Z176" s="64"/>
      <c r="AA176" s="64"/>
      <c r="AB176" s="64"/>
      <c r="AC176" s="64"/>
      <c r="AD176" s="64"/>
      <c r="AE176" s="134"/>
      <c r="AF176" s="134"/>
      <c r="AG176" s="112">
        <f t="shared" ca="1" si="348"/>
        <v>76.33</v>
      </c>
      <c r="AH176" s="112">
        <f t="shared" ca="1" si="348"/>
        <v>-0.41</v>
      </c>
      <c r="AI176" s="112">
        <f t="shared" ca="1" si="348"/>
        <v>26.29</v>
      </c>
      <c r="AJ176" s="112">
        <f t="shared" si="337"/>
        <v>72</v>
      </c>
      <c r="AK176" s="112">
        <f t="shared" ca="1" si="349"/>
        <v>0.79512827586206891</v>
      </c>
      <c r="AL176" s="112">
        <f t="shared" ca="1" si="350"/>
        <v>0.664498275862069</v>
      </c>
      <c r="AM176" s="112">
        <f t="shared" ca="1" si="351"/>
        <v>0.79594827586206895</v>
      </c>
      <c r="AN176" s="112">
        <f t="shared" ca="1" si="352"/>
        <v>0.5027031349017349</v>
      </c>
      <c r="AO176" s="112">
        <f t="shared" ca="1" si="353"/>
        <v>0.5042600226645465</v>
      </c>
      <c r="AP176" s="112">
        <f t="shared" ca="1" si="354"/>
        <v>0.29341450219859844</v>
      </c>
      <c r="AQ176" s="112">
        <f t="shared" ca="1" si="355"/>
        <v>0.48470636267225276</v>
      </c>
      <c r="AR176" s="112">
        <f t="shared" ca="1" si="356"/>
        <v>0.5042600226645465</v>
      </c>
      <c r="AS176" s="112">
        <f t="shared" ca="1" si="357"/>
        <v>0.24203762286362385</v>
      </c>
      <c r="AT176" s="159"/>
      <c r="AU176" s="107" t="str">
        <f t="shared" ca="1" si="358"/>
        <v/>
      </c>
      <c r="AV176" s="107" t="str">
        <f t="shared" ca="1" si="359"/>
        <v/>
      </c>
      <c r="AW176" s="107" t="str">
        <f t="shared" ca="1" si="360"/>
        <v/>
      </c>
      <c r="AX176" s="107" t="str">
        <f t="shared" ca="1" si="361"/>
        <v/>
      </c>
      <c r="AY176" s="108" t="str">
        <f t="shared" ca="1" si="362"/>
        <v/>
      </c>
      <c r="AZ176" s="108" t="str">
        <f t="shared" ca="1" si="363"/>
        <v/>
      </c>
      <c r="BA176" s="108" t="str">
        <f t="shared" ca="1" si="364"/>
        <v/>
      </c>
      <c r="BB176" s="108" t="str">
        <f t="shared" ca="1" si="365"/>
        <v/>
      </c>
      <c r="BC176" s="108" t="str">
        <f t="shared" ca="1" si="366"/>
        <v/>
      </c>
      <c r="BD176" s="109"/>
      <c r="BE176" s="109" t="str">
        <f t="shared" ca="1" si="367"/>
        <v/>
      </c>
      <c r="BF176" s="109" t="str">
        <f t="shared" ca="1" si="368"/>
        <v/>
      </c>
      <c r="BG176" s="109" t="str">
        <f t="shared" ca="1" si="369"/>
        <v/>
      </c>
      <c r="BH176" s="109"/>
      <c r="BI176" s="109">
        <f t="shared" si="370"/>
        <v>76.33</v>
      </c>
      <c r="BJ176" s="109">
        <f t="shared" si="371"/>
        <v>-0.41</v>
      </c>
      <c r="BK176" s="109">
        <f t="shared" si="372"/>
        <v>26.29</v>
      </c>
      <c r="BL176" s="109"/>
      <c r="BM176" s="109">
        <f t="shared" si="339"/>
        <v>0.79512827586206891</v>
      </c>
      <c r="BN176" s="109">
        <f t="shared" si="340"/>
        <v>0.664498275862069</v>
      </c>
      <c r="BO176" s="109">
        <f t="shared" si="341"/>
        <v>0.79594827586206895</v>
      </c>
      <c r="BP176" s="113">
        <f t="shared" si="342"/>
        <v>0.5027031349017349</v>
      </c>
      <c r="BQ176" s="113">
        <f t="shared" si="343"/>
        <v>0.5042600226645465</v>
      </c>
      <c r="BR176" s="113">
        <f t="shared" si="344"/>
        <v>0.29341450219859844</v>
      </c>
      <c r="BS176" s="113">
        <f t="shared" si="345"/>
        <v>0.48470636267225276</v>
      </c>
      <c r="BT176" s="113">
        <f t="shared" si="346"/>
        <v>0.5042600226645465</v>
      </c>
      <c r="BU176" s="113">
        <f t="shared" si="347"/>
        <v>0.24203762286362385</v>
      </c>
      <c r="BV176" s="255"/>
    </row>
    <row r="177" spans="2:76">
      <c r="B177" s="7"/>
      <c r="C177" s="7"/>
      <c r="D177" s="7"/>
      <c r="E177" s="7"/>
      <c r="F177" s="7"/>
      <c r="G177" s="7"/>
      <c r="H177" s="7"/>
      <c r="I177" s="7"/>
      <c r="J177" s="7"/>
      <c r="K177" s="7"/>
      <c r="L177" s="7"/>
      <c r="M177" s="7"/>
      <c r="N177" s="7"/>
      <c r="O177" s="7"/>
      <c r="P177" s="7"/>
      <c r="Q177" s="7"/>
      <c r="R177" s="64"/>
      <c r="S177" s="64"/>
      <c r="T177" s="64"/>
      <c r="U177" s="64"/>
      <c r="V177" s="64"/>
      <c r="W177" s="64"/>
      <c r="X177" s="64"/>
      <c r="Y177" s="64"/>
      <c r="Z177" s="64"/>
      <c r="AA177" s="64"/>
      <c r="AB177" s="64"/>
      <c r="AC177" s="64"/>
      <c r="AD177" s="64"/>
      <c r="AE177" s="134"/>
      <c r="AF177" s="134"/>
      <c r="AG177" s="112">
        <f t="shared" ca="1" si="348"/>
        <v>58.16</v>
      </c>
      <c r="AH177" s="112">
        <f t="shared" ca="1" si="348"/>
        <v>8.11</v>
      </c>
      <c r="AI177" s="112">
        <f t="shared" ca="1" si="348"/>
        <v>-12.18</v>
      </c>
      <c r="AJ177" s="112">
        <f t="shared" si="337"/>
        <v>73</v>
      </c>
      <c r="AK177" s="112">
        <f t="shared" ca="1" si="349"/>
        <v>0.65553034482758621</v>
      </c>
      <c r="AL177" s="112">
        <f t="shared" ca="1" si="350"/>
        <v>0.70021034482758615</v>
      </c>
      <c r="AM177" s="112">
        <f t="shared" ca="1" si="351"/>
        <v>0.6393103448275862</v>
      </c>
      <c r="AN177" s="112">
        <f t="shared" ca="1" si="352"/>
        <v>0.28169452140510831</v>
      </c>
      <c r="AO177" s="112">
        <f t="shared" ca="1" si="353"/>
        <v>0.26129746459469433</v>
      </c>
      <c r="AP177" s="112">
        <f t="shared" ca="1" si="354"/>
        <v>0.34330929982024599</v>
      </c>
      <c r="AQ177" s="112">
        <f t="shared" ca="1" si="355"/>
        <v>0.2716098575388054</v>
      </c>
      <c r="AR177" s="112">
        <f t="shared" ca="1" si="356"/>
        <v>0.26129746459469433</v>
      </c>
      <c r="AS177" s="112">
        <f t="shared" ca="1" si="357"/>
        <v>0.28319584142172088</v>
      </c>
      <c r="AT177" s="159"/>
      <c r="AU177" s="107" t="str">
        <f t="shared" ca="1" si="358"/>
        <v/>
      </c>
      <c r="AV177" s="107" t="str">
        <f t="shared" ca="1" si="359"/>
        <v/>
      </c>
      <c r="AW177" s="107" t="str">
        <f t="shared" ca="1" si="360"/>
        <v/>
      </c>
      <c r="AX177" s="107" t="str">
        <f t="shared" ca="1" si="361"/>
        <v/>
      </c>
      <c r="AY177" s="108" t="str">
        <f t="shared" ca="1" si="362"/>
        <v/>
      </c>
      <c r="AZ177" s="108" t="str">
        <f t="shared" ca="1" si="363"/>
        <v/>
      </c>
      <c r="BA177" s="108" t="str">
        <f t="shared" ca="1" si="364"/>
        <v/>
      </c>
      <c r="BB177" s="108" t="str">
        <f t="shared" ca="1" si="365"/>
        <v/>
      </c>
      <c r="BC177" s="108" t="str">
        <f t="shared" ca="1" si="366"/>
        <v/>
      </c>
      <c r="BD177" s="109"/>
      <c r="BE177" s="109" t="str">
        <f t="shared" ca="1" si="367"/>
        <v/>
      </c>
      <c r="BF177" s="109" t="str">
        <f t="shared" ca="1" si="368"/>
        <v/>
      </c>
      <c r="BG177" s="109" t="str">
        <f t="shared" ca="1" si="369"/>
        <v/>
      </c>
      <c r="BH177" s="109"/>
      <c r="BI177" s="109">
        <f t="shared" si="370"/>
        <v>58.16</v>
      </c>
      <c r="BJ177" s="109">
        <f t="shared" si="371"/>
        <v>8.11</v>
      </c>
      <c r="BK177" s="109">
        <f t="shared" si="372"/>
        <v>-12.18</v>
      </c>
      <c r="BL177" s="109"/>
      <c r="BM177" s="109">
        <f t="shared" si="339"/>
        <v>0.65553034482758621</v>
      </c>
      <c r="BN177" s="109">
        <f t="shared" si="340"/>
        <v>0.70021034482758615</v>
      </c>
      <c r="BO177" s="109">
        <f t="shared" si="341"/>
        <v>0.6393103448275862</v>
      </c>
      <c r="BP177" s="113">
        <f t="shared" si="342"/>
        <v>0.28169452140510831</v>
      </c>
      <c r="BQ177" s="113">
        <f t="shared" si="343"/>
        <v>0.26129746459469433</v>
      </c>
      <c r="BR177" s="113">
        <f t="shared" si="344"/>
        <v>0.34330929982024599</v>
      </c>
      <c r="BS177" s="113">
        <f t="shared" si="345"/>
        <v>0.2716098575388054</v>
      </c>
      <c r="BT177" s="113">
        <f t="shared" si="346"/>
        <v>0.26129746459469433</v>
      </c>
      <c r="BU177" s="113">
        <f t="shared" si="347"/>
        <v>0.28319584142172088</v>
      </c>
      <c r="BV177" s="255"/>
    </row>
    <row r="178" spans="2:76">
      <c r="B178" s="7"/>
      <c r="C178" s="7"/>
      <c r="D178" s="7"/>
      <c r="E178" s="7"/>
      <c r="F178" s="7"/>
      <c r="G178" s="7"/>
      <c r="H178" s="7"/>
      <c r="I178" s="7"/>
      <c r="J178" s="7"/>
      <c r="K178" s="7"/>
      <c r="L178" s="7"/>
      <c r="M178" s="7"/>
      <c r="N178" s="7"/>
      <c r="O178" s="7"/>
      <c r="P178" s="7"/>
      <c r="Q178" s="7"/>
      <c r="R178" s="64"/>
      <c r="S178" s="64"/>
      <c r="T178" s="64"/>
      <c r="U178" s="64"/>
      <c r="V178" s="64"/>
      <c r="W178" s="64"/>
      <c r="X178" s="64"/>
      <c r="Y178" s="64"/>
      <c r="Z178" s="64"/>
      <c r="AA178" s="64"/>
      <c r="AB178" s="64"/>
      <c r="AC178" s="64"/>
      <c r="AD178" s="64"/>
      <c r="AE178" s="134"/>
      <c r="AF178" s="134"/>
      <c r="AG178" s="112">
        <f t="shared" ca="1" si="348"/>
        <v>64.77</v>
      </c>
      <c r="AH178" s="112">
        <f t="shared" ca="1" si="348"/>
        <v>19.41</v>
      </c>
      <c r="AI178" s="112">
        <f t="shared" ca="1" si="348"/>
        <v>17.440000000000001</v>
      </c>
      <c r="AJ178" s="112">
        <f t="shared" si="337"/>
        <v>74</v>
      </c>
      <c r="AK178" s="112">
        <f t="shared" ca="1" si="349"/>
        <v>0.73511310344827574</v>
      </c>
      <c r="AL178" s="112">
        <f t="shared" ca="1" si="350"/>
        <v>0.60909310344827583</v>
      </c>
      <c r="AM178" s="112">
        <f t="shared" ca="1" si="351"/>
        <v>0.69629310344827577</v>
      </c>
      <c r="AN178" s="112">
        <f t="shared" ca="1" si="352"/>
        <v>0.39724870713970106</v>
      </c>
      <c r="AO178" s="112">
        <f t="shared" ca="1" si="353"/>
        <v>0.33757966740449064</v>
      </c>
      <c r="AP178" s="112">
        <f t="shared" ca="1" si="354"/>
        <v>0.22597013573770358</v>
      </c>
      <c r="AQ178" s="112">
        <f t="shared" ca="1" si="355"/>
        <v>0.38302720342409974</v>
      </c>
      <c r="AR178" s="112">
        <f t="shared" ca="1" si="356"/>
        <v>0.33757966740449064</v>
      </c>
      <c r="AS178" s="112">
        <f t="shared" ca="1" si="357"/>
        <v>0.18640276497003166</v>
      </c>
      <c r="AT178" s="159"/>
      <c r="AU178" s="107" t="str">
        <f t="shared" ca="1" si="358"/>
        <v/>
      </c>
      <c r="AV178" s="107" t="str">
        <f t="shared" ca="1" si="359"/>
        <v/>
      </c>
      <c r="AW178" s="107" t="str">
        <f t="shared" ca="1" si="360"/>
        <v/>
      </c>
      <c r="AX178" s="107" t="str">
        <f t="shared" ca="1" si="361"/>
        <v/>
      </c>
      <c r="AY178" s="108" t="str">
        <f t="shared" ca="1" si="362"/>
        <v/>
      </c>
      <c r="AZ178" s="108" t="str">
        <f t="shared" ca="1" si="363"/>
        <v/>
      </c>
      <c r="BA178" s="108" t="str">
        <f t="shared" ca="1" si="364"/>
        <v/>
      </c>
      <c r="BB178" s="108" t="str">
        <f t="shared" ca="1" si="365"/>
        <v/>
      </c>
      <c r="BC178" s="108" t="str">
        <f t="shared" ca="1" si="366"/>
        <v/>
      </c>
      <c r="BD178" s="109"/>
      <c r="BE178" s="109" t="str">
        <f t="shared" ca="1" si="367"/>
        <v/>
      </c>
      <c r="BF178" s="109" t="str">
        <f t="shared" ca="1" si="368"/>
        <v/>
      </c>
      <c r="BG178" s="109" t="str">
        <f t="shared" ca="1" si="369"/>
        <v/>
      </c>
      <c r="BH178" s="109"/>
      <c r="BI178" s="109">
        <f t="shared" si="370"/>
        <v>64.77</v>
      </c>
      <c r="BJ178" s="109">
        <f t="shared" si="371"/>
        <v>19.41</v>
      </c>
      <c r="BK178" s="109">
        <f t="shared" si="372"/>
        <v>17.440000000000001</v>
      </c>
      <c r="BL178" s="109"/>
      <c r="BM178" s="109">
        <f t="shared" si="339"/>
        <v>0.73511310344827574</v>
      </c>
      <c r="BN178" s="109">
        <f t="shared" si="340"/>
        <v>0.60909310344827583</v>
      </c>
      <c r="BO178" s="109">
        <f t="shared" si="341"/>
        <v>0.69629310344827577</v>
      </c>
      <c r="BP178" s="113">
        <f t="shared" si="342"/>
        <v>0.39724870713970106</v>
      </c>
      <c r="BQ178" s="113">
        <f t="shared" si="343"/>
        <v>0.33757966740449064</v>
      </c>
      <c r="BR178" s="113">
        <f t="shared" si="344"/>
        <v>0.22597013573770358</v>
      </c>
      <c r="BS178" s="113">
        <f t="shared" si="345"/>
        <v>0.38302720342409974</v>
      </c>
      <c r="BT178" s="113">
        <f t="shared" si="346"/>
        <v>0.33757966740449064</v>
      </c>
      <c r="BU178" s="113">
        <f t="shared" si="347"/>
        <v>0.18640276497003166</v>
      </c>
      <c r="BV178" s="255"/>
    </row>
    <row r="179" spans="2:76">
      <c r="B179" s="7"/>
      <c r="C179" s="7"/>
      <c r="D179" s="7"/>
      <c r="E179" s="7"/>
      <c r="F179" s="7"/>
      <c r="G179" s="7"/>
      <c r="H179" s="7"/>
      <c r="I179" s="7"/>
      <c r="J179" s="7"/>
      <c r="K179" s="7"/>
      <c r="L179" s="7"/>
      <c r="M179" s="7"/>
      <c r="N179" s="7"/>
      <c r="O179" s="7"/>
      <c r="P179" s="7"/>
      <c r="Q179" s="7"/>
      <c r="R179" s="64"/>
      <c r="S179" s="64"/>
      <c r="T179" s="64"/>
      <c r="U179" s="64"/>
      <c r="V179" s="64"/>
      <c r="W179" s="64"/>
      <c r="X179" s="64"/>
      <c r="Y179" s="64"/>
      <c r="Z179" s="64"/>
      <c r="AA179" s="64"/>
      <c r="AB179" s="64"/>
      <c r="AC179" s="64"/>
      <c r="AD179" s="64"/>
      <c r="AE179" s="134"/>
      <c r="AF179" s="134"/>
      <c r="AG179" s="112">
        <f t="shared" ca="1" si="348"/>
        <v>66.64</v>
      </c>
      <c r="AH179" s="112">
        <f t="shared" ca="1" si="348"/>
        <v>-13.27</v>
      </c>
      <c r="AI179" s="112">
        <f t="shared" ca="1" si="348"/>
        <v>11.92</v>
      </c>
      <c r="AJ179" s="112">
        <f t="shared" si="337"/>
        <v>75</v>
      </c>
      <c r="AK179" s="112">
        <f t="shared" ca="1" si="349"/>
        <v>0.68587379310344831</v>
      </c>
      <c r="AL179" s="112">
        <f t="shared" ca="1" si="350"/>
        <v>0.65281379310344834</v>
      </c>
      <c r="AM179" s="112">
        <f t="shared" ca="1" si="351"/>
        <v>0.71241379310344832</v>
      </c>
      <c r="AN179" s="112">
        <f t="shared" ca="1" si="352"/>
        <v>0.32265071139611678</v>
      </c>
      <c r="AO179" s="112">
        <f t="shared" ca="1" si="353"/>
        <v>0.36157380359998365</v>
      </c>
      <c r="AP179" s="112">
        <f t="shared" ca="1" si="354"/>
        <v>0.27820694402831186</v>
      </c>
      <c r="AQ179" s="112">
        <f t="shared" ca="1" si="355"/>
        <v>0.31109981592813579</v>
      </c>
      <c r="AR179" s="112">
        <f t="shared" ca="1" si="356"/>
        <v>0.36157380359998365</v>
      </c>
      <c r="AS179" s="112">
        <f t="shared" ca="1" si="357"/>
        <v>0.22949290812895445</v>
      </c>
      <c r="AT179" s="159"/>
      <c r="AU179" s="107" t="str">
        <f t="shared" ca="1" si="358"/>
        <v/>
      </c>
      <c r="AV179" s="107" t="str">
        <f t="shared" ca="1" si="359"/>
        <v/>
      </c>
      <c r="AW179" s="107" t="str">
        <f t="shared" ca="1" si="360"/>
        <v/>
      </c>
      <c r="AX179" s="107" t="str">
        <f t="shared" ca="1" si="361"/>
        <v/>
      </c>
      <c r="AY179" s="108" t="str">
        <f t="shared" ca="1" si="362"/>
        <v/>
      </c>
      <c r="AZ179" s="108" t="str">
        <f t="shared" ca="1" si="363"/>
        <v/>
      </c>
      <c r="BA179" s="108" t="str">
        <f t="shared" ca="1" si="364"/>
        <v/>
      </c>
      <c r="BB179" s="108" t="str">
        <f t="shared" ca="1" si="365"/>
        <v/>
      </c>
      <c r="BC179" s="108" t="str">
        <f t="shared" ca="1" si="366"/>
        <v/>
      </c>
      <c r="BD179" s="109"/>
      <c r="BE179" s="109" t="str">
        <f t="shared" ca="1" si="367"/>
        <v/>
      </c>
      <c r="BF179" s="109" t="str">
        <f t="shared" ca="1" si="368"/>
        <v/>
      </c>
      <c r="BG179" s="109" t="str">
        <f t="shared" ca="1" si="369"/>
        <v/>
      </c>
      <c r="BH179" s="109"/>
      <c r="BI179" s="109">
        <f t="shared" si="370"/>
        <v>66.64</v>
      </c>
      <c r="BJ179" s="109">
        <f t="shared" si="371"/>
        <v>-13.27</v>
      </c>
      <c r="BK179" s="109">
        <f t="shared" si="372"/>
        <v>11.92</v>
      </c>
      <c r="BL179" s="109"/>
      <c r="BM179" s="109">
        <f t="shared" si="339"/>
        <v>0.68587379310344831</v>
      </c>
      <c r="BN179" s="109">
        <f t="shared" si="340"/>
        <v>0.65281379310344834</v>
      </c>
      <c r="BO179" s="109">
        <f t="shared" si="341"/>
        <v>0.71241379310344832</v>
      </c>
      <c r="BP179" s="113">
        <f t="shared" si="342"/>
        <v>0.32265071139611678</v>
      </c>
      <c r="BQ179" s="113">
        <f t="shared" si="343"/>
        <v>0.36157380359998365</v>
      </c>
      <c r="BR179" s="113">
        <f t="shared" si="344"/>
        <v>0.27820694402831186</v>
      </c>
      <c r="BS179" s="113">
        <f t="shared" si="345"/>
        <v>0.31109981592813579</v>
      </c>
      <c r="BT179" s="113">
        <f t="shared" si="346"/>
        <v>0.36157380359998365</v>
      </c>
      <c r="BU179" s="113">
        <f t="shared" si="347"/>
        <v>0.22949290812895445</v>
      </c>
      <c r="BV179" s="255"/>
    </row>
    <row r="180" spans="2:76">
      <c r="B180" s="7"/>
      <c r="C180" s="7"/>
      <c r="D180" s="7"/>
      <c r="E180" s="7"/>
      <c r="F180" s="7"/>
      <c r="G180" s="7"/>
      <c r="H180" s="7"/>
      <c r="I180" s="7"/>
      <c r="J180" s="7"/>
      <c r="K180" s="7"/>
      <c r="L180" s="7"/>
      <c r="M180" s="7"/>
      <c r="N180" s="7"/>
      <c r="O180" s="7"/>
      <c r="P180" s="7"/>
      <c r="Q180" s="7"/>
      <c r="R180" s="64"/>
      <c r="S180" s="64"/>
      <c r="T180" s="64"/>
      <c r="U180" s="64"/>
      <c r="V180" s="64"/>
      <c r="W180" s="64"/>
      <c r="X180" s="64"/>
      <c r="Y180" s="64"/>
      <c r="Z180" s="64"/>
      <c r="AA180" s="64"/>
      <c r="AB180" s="64"/>
      <c r="AC180" s="64"/>
      <c r="AD180" s="64"/>
      <c r="AE180" s="134"/>
      <c r="AF180" s="134"/>
      <c r="AG180" s="112">
        <f t="shared" ca="1" si="348"/>
        <v>48.08</v>
      </c>
      <c r="AH180" s="112">
        <f t="shared" ca="1" si="348"/>
        <v>-8.75</v>
      </c>
      <c r="AI180" s="112">
        <f t="shared" ca="1" si="348"/>
        <v>-33.590000000000003</v>
      </c>
      <c r="AJ180" s="112">
        <f t="shared" si="337"/>
        <v>76</v>
      </c>
      <c r="AK180" s="112">
        <f t="shared" ca="1" si="349"/>
        <v>0.53491379310344833</v>
      </c>
      <c r="AL180" s="112">
        <f t="shared" ca="1" si="350"/>
        <v>0.72036379310344834</v>
      </c>
      <c r="AM180" s="112">
        <f t="shared" ca="1" si="351"/>
        <v>0.55241379310344829</v>
      </c>
      <c r="AN180" s="112">
        <f t="shared" ca="1" si="352"/>
        <v>0.15305636322022742</v>
      </c>
      <c r="AO180" s="112">
        <f t="shared" ca="1" si="353"/>
        <v>0.16857514486038791</v>
      </c>
      <c r="AP180" s="112">
        <f t="shared" ca="1" si="354"/>
        <v>0.37381405694874098</v>
      </c>
      <c r="AQ180" s="112">
        <f t="shared" ca="1" si="355"/>
        <v>0.14757694541694327</v>
      </c>
      <c r="AR180" s="112">
        <f t="shared" ca="1" si="356"/>
        <v>0.16857514486038791</v>
      </c>
      <c r="AS180" s="112">
        <f t="shared" ca="1" si="357"/>
        <v>0.3083592155770164</v>
      </c>
      <c r="AT180" s="159"/>
      <c r="AU180" s="107" t="str">
        <f t="shared" ca="1" si="358"/>
        <v/>
      </c>
      <c r="AV180" s="107" t="str">
        <f t="shared" ca="1" si="359"/>
        <v/>
      </c>
      <c r="AW180" s="107" t="str">
        <f t="shared" ca="1" si="360"/>
        <v/>
      </c>
      <c r="AX180" s="107" t="str">
        <f t="shared" ca="1" si="361"/>
        <v/>
      </c>
      <c r="AY180" s="108" t="str">
        <f t="shared" ca="1" si="362"/>
        <v/>
      </c>
      <c r="AZ180" s="108" t="str">
        <f t="shared" ca="1" si="363"/>
        <v/>
      </c>
      <c r="BA180" s="108" t="str">
        <f t="shared" ca="1" si="364"/>
        <v/>
      </c>
      <c r="BB180" s="108" t="str">
        <f t="shared" ca="1" si="365"/>
        <v/>
      </c>
      <c r="BC180" s="108" t="str">
        <f t="shared" ca="1" si="366"/>
        <v/>
      </c>
      <c r="BD180" s="109"/>
      <c r="BE180" s="109" t="str">
        <f t="shared" ca="1" si="367"/>
        <v/>
      </c>
      <c r="BF180" s="109" t="str">
        <f t="shared" ca="1" si="368"/>
        <v/>
      </c>
      <c r="BG180" s="109" t="str">
        <f t="shared" ca="1" si="369"/>
        <v/>
      </c>
      <c r="BH180" s="109"/>
      <c r="BI180" s="109">
        <f t="shared" si="370"/>
        <v>48.08</v>
      </c>
      <c r="BJ180" s="109">
        <f t="shared" si="371"/>
        <v>-8.75</v>
      </c>
      <c r="BK180" s="109">
        <f t="shared" si="372"/>
        <v>-33.590000000000003</v>
      </c>
      <c r="BL180" s="109"/>
      <c r="BM180" s="109">
        <f t="shared" si="339"/>
        <v>0.53491379310344833</v>
      </c>
      <c r="BN180" s="109">
        <f t="shared" si="340"/>
        <v>0.72036379310344834</v>
      </c>
      <c r="BO180" s="109">
        <f t="shared" si="341"/>
        <v>0.55241379310344829</v>
      </c>
      <c r="BP180" s="113">
        <f t="shared" si="342"/>
        <v>0.15305636322022742</v>
      </c>
      <c r="BQ180" s="113">
        <f t="shared" si="343"/>
        <v>0.16857514486038791</v>
      </c>
      <c r="BR180" s="113">
        <f t="shared" si="344"/>
        <v>0.37381405694874098</v>
      </c>
      <c r="BS180" s="113">
        <f t="shared" si="345"/>
        <v>0.14757694541694327</v>
      </c>
      <c r="BT180" s="113">
        <f t="shared" si="346"/>
        <v>0.16857514486038791</v>
      </c>
      <c r="BU180" s="113">
        <f t="shared" si="347"/>
        <v>0.3083592155770164</v>
      </c>
      <c r="BV180" s="255"/>
    </row>
    <row r="181" spans="2:76">
      <c r="B181" s="7"/>
      <c r="C181" s="7"/>
      <c r="D181" s="7"/>
      <c r="E181" s="7"/>
      <c r="F181" s="7"/>
      <c r="G181" s="7"/>
      <c r="H181" s="7"/>
      <c r="I181" s="7"/>
      <c r="J181" s="7"/>
      <c r="K181" s="7"/>
      <c r="L181" s="7"/>
      <c r="M181" s="7"/>
      <c r="N181" s="7"/>
      <c r="O181" s="7"/>
      <c r="P181" s="7"/>
      <c r="Q181" s="7"/>
      <c r="R181" s="64"/>
      <c r="S181" s="64"/>
      <c r="T181" s="64"/>
      <c r="U181" s="64"/>
      <c r="V181" s="64"/>
      <c r="W181" s="64"/>
      <c r="X181" s="64"/>
      <c r="Y181" s="64"/>
      <c r="Z181" s="64"/>
      <c r="AA181" s="64"/>
      <c r="AB181" s="64"/>
      <c r="AC181" s="64"/>
      <c r="AD181" s="64"/>
      <c r="AE181" s="134"/>
      <c r="AF181" s="134"/>
      <c r="AG181" s="112">
        <f t="shared" ca="1" si="348"/>
        <v>52.06</v>
      </c>
      <c r="AH181" s="112">
        <f t="shared" ca="1" si="348"/>
        <v>56.18</v>
      </c>
      <c r="AI181" s="112">
        <f t="shared" ca="1" si="348"/>
        <v>12.52</v>
      </c>
      <c r="AJ181" s="112">
        <f t="shared" si="337"/>
        <v>77</v>
      </c>
      <c r="AK181" s="112">
        <f t="shared" ca="1" si="349"/>
        <v>0.69908413793103452</v>
      </c>
      <c r="AL181" s="112">
        <f t="shared" ca="1" si="350"/>
        <v>0.52412413793103452</v>
      </c>
      <c r="AM181" s="112">
        <f t="shared" ca="1" si="351"/>
        <v>0.58672413793103451</v>
      </c>
      <c r="AN181" s="112">
        <f t="shared" ca="1" si="352"/>
        <v>0.3416554434773843</v>
      </c>
      <c r="AO181" s="112">
        <f t="shared" ca="1" si="353"/>
        <v>0.20197697643917342</v>
      </c>
      <c r="AP181" s="112">
        <f t="shared" ca="1" si="354"/>
        <v>0.14398010411644335</v>
      </c>
      <c r="AQ181" s="112">
        <f t="shared" ca="1" si="355"/>
        <v>0.3294241786008939</v>
      </c>
      <c r="AR181" s="112">
        <f t="shared" ca="1" si="356"/>
        <v>0.20197697643917342</v>
      </c>
      <c r="AS181" s="112">
        <f t="shared" ca="1" si="357"/>
        <v>0.11876918788565412</v>
      </c>
      <c r="AT181" s="159"/>
      <c r="AU181" s="107" t="str">
        <f t="shared" ca="1" si="358"/>
        <v/>
      </c>
      <c r="AV181" s="107" t="str">
        <f t="shared" ca="1" si="359"/>
        <v/>
      </c>
      <c r="AW181" s="107" t="str">
        <f t="shared" ca="1" si="360"/>
        <v/>
      </c>
      <c r="AX181" s="107" t="str">
        <f t="shared" ca="1" si="361"/>
        <v/>
      </c>
      <c r="AY181" s="108" t="str">
        <f t="shared" ca="1" si="362"/>
        <v/>
      </c>
      <c r="AZ181" s="108" t="str">
        <f t="shared" ca="1" si="363"/>
        <v/>
      </c>
      <c r="BA181" s="108" t="str">
        <f t="shared" ca="1" si="364"/>
        <v/>
      </c>
      <c r="BB181" s="108" t="str">
        <f t="shared" ca="1" si="365"/>
        <v/>
      </c>
      <c r="BC181" s="108" t="str">
        <f t="shared" ca="1" si="366"/>
        <v/>
      </c>
      <c r="BD181" s="109"/>
      <c r="BE181" s="109" t="str">
        <f t="shared" ca="1" si="367"/>
        <v/>
      </c>
      <c r="BF181" s="109" t="str">
        <f t="shared" ca="1" si="368"/>
        <v/>
      </c>
      <c r="BG181" s="109" t="str">
        <f t="shared" ca="1" si="369"/>
        <v/>
      </c>
      <c r="BH181" s="109"/>
      <c r="BI181" s="109">
        <f t="shared" si="370"/>
        <v>52.06</v>
      </c>
      <c r="BJ181" s="109">
        <f t="shared" si="371"/>
        <v>56.18</v>
      </c>
      <c r="BK181" s="109">
        <f t="shared" si="372"/>
        <v>12.52</v>
      </c>
      <c r="BL181" s="109"/>
      <c r="BM181" s="109">
        <f t="shared" si="339"/>
        <v>0.69908413793103452</v>
      </c>
      <c r="BN181" s="109">
        <f t="shared" si="340"/>
        <v>0.52412413793103452</v>
      </c>
      <c r="BO181" s="109">
        <f t="shared" si="341"/>
        <v>0.58672413793103451</v>
      </c>
      <c r="BP181" s="113">
        <f t="shared" si="342"/>
        <v>0.3416554434773843</v>
      </c>
      <c r="BQ181" s="113">
        <f t="shared" si="343"/>
        <v>0.20197697643917342</v>
      </c>
      <c r="BR181" s="113">
        <f t="shared" si="344"/>
        <v>0.14398010411644335</v>
      </c>
      <c r="BS181" s="113">
        <f t="shared" si="345"/>
        <v>0.3294241786008939</v>
      </c>
      <c r="BT181" s="113">
        <f t="shared" si="346"/>
        <v>0.20197697643917342</v>
      </c>
      <c r="BU181" s="113">
        <f t="shared" si="347"/>
        <v>0.11876918788565412</v>
      </c>
      <c r="BV181" s="255"/>
    </row>
    <row r="182" spans="2:76">
      <c r="B182" s="7"/>
      <c r="C182" s="7"/>
      <c r="D182" s="7"/>
      <c r="E182" s="7"/>
      <c r="F182" s="7"/>
      <c r="G182" s="7"/>
      <c r="H182" s="7"/>
      <c r="I182" s="7"/>
      <c r="J182" s="7"/>
      <c r="K182" s="7"/>
      <c r="L182" s="7"/>
      <c r="M182" s="7"/>
      <c r="N182" s="7"/>
      <c r="O182" s="7"/>
      <c r="P182" s="7"/>
      <c r="Q182" s="7"/>
      <c r="R182" s="64"/>
      <c r="S182" s="64"/>
      <c r="T182" s="64"/>
      <c r="U182" s="64"/>
      <c r="V182" s="64"/>
      <c r="W182" s="64"/>
      <c r="X182" s="64"/>
      <c r="Y182" s="64"/>
      <c r="Z182" s="64"/>
      <c r="AA182" s="64"/>
      <c r="AB182" s="64"/>
      <c r="AC182" s="64"/>
      <c r="AD182" s="64"/>
      <c r="AE182" s="134"/>
      <c r="AF182" s="134"/>
      <c r="AG182" s="112">
        <f t="shared" ca="1" si="348"/>
        <v>68.14</v>
      </c>
      <c r="AH182" s="112">
        <f t="shared" ca="1" si="348"/>
        <v>-20.059999999999999</v>
      </c>
      <c r="AI182" s="112">
        <f t="shared" ca="1" si="348"/>
        <v>46.8</v>
      </c>
      <c r="AJ182" s="112">
        <f t="shared" si="337"/>
        <v>78</v>
      </c>
      <c r="AK182" s="112">
        <f t="shared" ca="1" si="349"/>
        <v>0.68522482758620684</v>
      </c>
      <c r="AL182" s="112">
        <f t="shared" ca="1" si="350"/>
        <v>0.4913448275862069</v>
      </c>
      <c r="AM182" s="112">
        <f t="shared" ca="1" si="351"/>
        <v>0.72534482758620689</v>
      </c>
      <c r="AN182" s="112">
        <f t="shared" ca="1" si="352"/>
        <v>0.32173571305877458</v>
      </c>
      <c r="AO182" s="112">
        <f t="shared" ca="1" si="353"/>
        <v>0.38162213366169173</v>
      </c>
      <c r="AP182" s="112">
        <f t="shared" ca="1" si="354"/>
        <v>0.1186203403275657</v>
      </c>
      <c r="AQ182" s="112">
        <f t="shared" ca="1" si="355"/>
        <v>0.31021757453127041</v>
      </c>
      <c r="AR182" s="112">
        <f t="shared" ca="1" si="356"/>
        <v>0.38162213366169173</v>
      </c>
      <c r="AS182" s="112">
        <f t="shared" ca="1" si="357"/>
        <v>9.7849918736208949E-2</v>
      </c>
      <c r="AT182" s="159"/>
      <c r="AU182" s="107" t="str">
        <f t="shared" ca="1" si="358"/>
        <v/>
      </c>
      <c r="AV182" s="107" t="str">
        <f t="shared" ca="1" si="359"/>
        <v/>
      </c>
      <c r="AW182" s="107" t="str">
        <f t="shared" ca="1" si="360"/>
        <v/>
      </c>
      <c r="AX182" s="107" t="str">
        <f t="shared" ca="1" si="361"/>
        <v/>
      </c>
      <c r="AY182" s="108" t="str">
        <f t="shared" ca="1" si="362"/>
        <v/>
      </c>
      <c r="AZ182" s="108" t="str">
        <f t="shared" ca="1" si="363"/>
        <v/>
      </c>
      <c r="BA182" s="108" t="str">
        <f t="shared" ca="1" si="364"/>
        <v/>
      </c>
      <c r="BB182" s="108" t="str">
        <f t="shared" ca="1" si="365"/>
        <v/>
      </c>
      <c r="BC182" s="108" t="str">
        <f t="shared" ca="1" si="366"/>
        <v/>
      </c>
      <c r="BD182" s="109"/>
      <c r="BE182" s="109" t="str">
        <f t="shared" ca="1" si="367"/>
        <v/>
      </c>
      <c r="BF182" s="109" t="str">
        <f t="shared" ca="1" si="368"/>
        <v/>
      </c>
      <c r="BG182" s="109" t="str">
        <f t="shared" ca="1" si="369"/>
        <v/>
      </c>
      <c r="BH182" s="109"/>
      <c r="BI182" s="109">
        <f t="shared" si="370"/>
        <v>68.14</v>
      </c>
      <c r="BJ182" s="109">
        <f t="shared" si="371"/>
        <v>-20.059999999999999</v>
      </c>
      <c r="BK182" s="109">
        <f t="shared" si="372"/>
        <v>46.8</v>
      </c>
      <c r="BL182" s="109"/>
      <c r="BM182" s="109">
        <f t="shared" si="339"/>
        <v>0.68522482758620684</v>
      </c>
      <c r="BN182" s="109">
        <f t="shared" si="340"/>
        <v>0.4913448275862069</v>
      </c>
      <c r="BO182" s="109">
        <f t="shared" si="341"/>
        <v>0.72534482758620689</v>
      </c>
      <c r="BP182" s="113">
        <f t="shared" si="342"/>
        <v>0.32173571305877458</v>
      </c>
      <c r="BQ182" s="113">
        <f t="shared" si="343"/>
        <v>0.38162213366169173</v>
      </c>
      <c r="BR182" s="113">
        <f t="shared" si="344"/>
        <v>0.1186203403275657</v>
      </c>
      <c r="BS182" s="113">
        <f t="shared" si="345"/>
        <v>0.31021757453127041</v>
      </c>
      <c r="BT182" s="113">
        <f t="shared" si="346"/>
        <v>0.38162213366169173</v>
      </c>
      <c r="BU182" s="113">
        <f t="shared" si="347"/>
        <v>9.7849918736208949E-2</v>
      </c>
      <c r="BV182" s="255"/>
    </row>
    <row r="183" spans="2:76">
      <c r="B183" s="7"/>
      <c r="C183" s="7"/>
      <c r="D183" s="7"/>
      <c r="E183" s="7"/>
      <c r="F183" s="7"/>
      <c r="G183" s="7"/>
      <c r="H183" s="7"/>
      <c r="I183" s="7"/>
      <c r="J183" s="7"/>
      <c r="K183" s="7"/>
      <c r="L183" s="7"/>
      <c r="M183" s="7"/>
      <c r="N183" s="7"/>
      <c r="O183" s="7"/>
      <c r="P183" s="7"/>
      <c r="Q183" s="7"/>
      <c r="R183" s="64"/>
      <c r="S183" s="64"/>
      <c r="T183" s="64"/>
      <c r="U183" s="64"/>
      <c r="V183" s="64"/>
      <c r="W183" s="64"/>
      <c r="X183" s="64"/>
      <c r="Y183" s="64"/>
      <c r="Z183" s="64"/>
      <c r="AA183" s="64"/>
      <c r="AB183" s="64"/>
      <c r="AC183" s="64"/>
      <c r="AD183" s="64"/>
      <c r="AE183" s="134"/>
      <c r="AF183" s="134"/>
      <c r="AG183" s="112">
        <f t="shared" ca="1" si="348"/>
        <v>44.95</v>
      </c>
      <c r="AH183" s="112">
        <f t="shared" ca="1" si="348"/>
        <v>37.96</v>
      </c>
      <c r="AI183" s="112">
        <f t="shared" ca="1" si="348"/>
        <v>-17.510000000000002</v>
      </c>
      <c r="AJ183" s="112">
        <f t="shared" si="337"/>
        <v>79</v>
      </c>
      <c r="AK183" s="112">
        <f t="shared" ca="1" si="349"/>
        <v>0.60135103448275862</v>
      </c>
      <c r="AL183" s="112">
        <f t="shared" ca="1" si="350"/>
        <v>0.61298103448275865</v>
      </c>
      <c r="AM183" s="112">
        <f t="shared" ca="1" si="351"/>
        <v>0.52543103448275863</v>
      </c>
      <c r="AN183" s="112">
        <f t="shared" ca="1" si="352"/>
        <v>0.21746240523692714</v>
      </c>
      <c r="AO183" s="112">
        <f t="shared" ca="1" si="353"/>
        <v>0.14505982933840564</v>
      </c>
      <c r="AP183" s="112">
        <f t="shared" ca="1" si="354"/>
        <v>0.23032501770111985</v>
      </c>
      <c r="AQ183" s="112">
        <f t="shared" ca="1" si="355"/>
        <v>0.20967725112944513</v>
      </c>
      <c r="AR183" s="112">
        <f t="shared" ca="1" si="356"/>
        <v>0.14505982933840564</v>
      </c>
      <c r="AS183" s="112">
        <f t="shared" ca="1" si="357"/>
        <v>0.18999510710165377</v>
      </c>
      <c r="AT183" s="159"/>
      <c r="AU183" s="107" t="str">
        <f t="shared" ca="1" si="358"/>
        <v/>
      </c>
      <c r="AV183" s="107" t="str">
        <f t="shared" ca="1" si="359"/>
        <v/>
      </c>
      <c r="AW183" s="107" t="str">
        <f t="shared" ca="1" si="360"/>
        <v/>
      </c>
      <c r="AX183" s="107" t="str">
        <f t="shared" ca="1" si="361"/>
        <v/>
      </c>
      <c r="AY183" s="108" t="str">
        <f t="shared" ca="1" si="362"/>
        <v/>
      </c>
      <c r="AZ183" s="108" t="str">
        <f t="shared" ca="1" si="363"/>
        <v/>
      </c>
      <c r="BA183" s="108" t="str">
        <f t="shared" ca="1" si="364"/>
        <v/>
      </c>
      <c r="BB183" s="108" t="str">
        <f t="shared" ca="1" si="365"/>
        <v/>
      </c>
      <c r="BC183" s="108" t="str">
        <f t="shared" ca="1" si="366"/>
        <v/>
      </c>
      <c r="BD183" s="109"/>
      <c r="BE183" s="109" t="str">
        <f t="shared" ca="1" si="367"/>
        <v/>
      </c>
      <c r="BF183" s="109" t="str">
        <f t="shared" ca="1" si="368"/>
        <v/>
      </c>
      <c r="BG183" s="109" t="str">
        <f t="shared" ca="1" si="369"/>
        <v/>
      </c>
      <c r="BH183" s="109"/>
      <c r="BI183" s="109">
        <f t="shared" si="370"/>
        <v>44.95</v>
      </c>
      <c r="BJ183" s="109">
        <f t="shared" si="371"/>
        <v>37.96</v>
      </c>
      <c r="BK183" s="109">
        <f t="shared" si="372"/>
        <v>-17.510000000000002</v>
      </c>
      <c r="BL183" s="109"/>
      <c r="BM183" s="109">
        <f t="shared" si="339"/>
        <v>0.60135103448275862</v>
      </c>
      <c r="BN183" s="109">
        <f t="shared" si="340"/>
        <v>0.61298103448275865</v>
      </c>
      <c r="BO183" s="109">
        <f t="shared" si="341"/>
        <v>0.52543103448275863</v>
      </c>
      <c r="BP183" s="113">
        <f t="shared" si="342"/>
        <v>0.21746240523692714</v>
      </c>
      <c r="BQ183" s="113">
        <f t="shared" si="343"/>
        <v>0.14505982933840564</v>
      </c>
      <c r="BR183" s="113">
        <f t="shared" si="344"/>
        <v>0.23032501770111985</v>
      </c>
      <c r="BS183" s="113">
        <f t="shared" si="345"/>
        <v>0.20967725112944513</v>
      </c>
      <c r="BT183" s="113">
        <f t="shared" si="346"/>
        <v>0.14505982933840564</v>
      </c>
      <c r="BU183" s="113">
        <f t="shared" si="347"/>
        <v>0.18999510710165377</v>
      </c>
      <c r="BV183" s="255"/>
    </row>
    <row r="184" spans="2:76">
      <c r="B184" s="7"/>
      <c r="C184" s="7"/>
      <c r="D184" s="7"/>
      <c r="E184" s="7"/>
      <c r="F184" s="7"/>
      <c r="G184" s="7"/>
      <c r="H184" s="7"/>
      <c r="I184" s="7"/>
      <c r="J184" s="7"/>
      <c r="K184" s="7"/>
      <c r="L184" s="7"/>
      <c r="M184" s="7"/>
      <c r="N184" s="7"/>
      <c r="O184" s="7"/>
      <c r="P184" s="7"/>
      <c r="Q184" s="7"/>
      <c r="R184" s="64"/>
      <c r="S184" s="64"/>
      <c r="T184" s="64"/>
      <c r="U184" s="64"/>
      <c r="V184" s="64"/>
      <c r="W184" s="64"/>
      <c r="X184" s="64"/>
      <c r="Y184" s="64"/>
      <c r="Z184" s="64"/>
      <c r="AA184" s="64"/>
      <c r="AB184" s="64"/>
      <c r="AC184" s="64"/>
      <c r="AD184" s="64"/>
      <c r="AE184" s="134"/>
      <c r="AF184" s="134"/>
      <c r="AG184" s="112">
        <f t="shared" ca="1" si="348"/>
        <v>66.739999999999995</v>
      </c>
      <c r="AH184" s="112">
        <f t="shared" ca="1" si="348"/>
        <v>24.04</v>
      </c>
      <c r="AI184" s="112">
        <f t="shared" ca="1" si="348"/>
        <v>50.36</v>
      </c>
      <c r="AJ184" s="112">
        <f t="shared" si="337"/>
        <v>80</v>
      </c>
      <c r="AK184" s="112">
        <f t="shared" ca="1" si="349"/>
        <v>0.76135586206896544</v>
      </c>
      <c r="AL184" s="112">
        <f t="shared" ca="1" si="350"/>
        <v>0.4614758620689654</v>
      </c>
      <c r="AM184" s="112">
        <f t="shared" ca="1" si="351"/>
        <v>0.71327586206896543</v>
      </c>
      <c r="AN184" s="112">
        <f t="shared" ca="1" si="352"/>
        <v>0.44132963175091466</v>
      </c>
      <c r="AO184" s="112">
        <f t="shared" ca="1" si="353"/>
        <v>0.36288797897105241</v>
      </c>
      <c r="AP184" s="112">
        <f t="shared" ca="1" si="354"/>
        <v>9.8275886329064352E-2</v>
      </c>
      <c r="AQ184" s="112">
        <f t="shared" ca="1" si="355"/>
        <v>0.42553003093423192</v>
      </c>
      <c r="AR184" s="112">
        <f t="shared" ca="1" si="356"/>
        <v>0.36288797897105241</v>
      </c>
      <c r="AS184" s="112">
        <f t="shared" ca="1" si="357"/>
        <v>8.1067778632845186E-2</v>
      </c>
      <c r="AT184" s="159"/>
      <c r="AU184" s="107" t="str">
        <f t="shared" ca="1" si="358"/>
        <v/>
      </c>
      <c r="AV184" s="107" t="str">
        <f t="shared" ca="1" si="359"/>
        <v/>
      </c>
      <c r="AW184" s="107" t="str">
        <f t="shared" ca="1" si="360"/>
        <v/>
      </c>
      <c r="AX184" s="107" t="str">
        <f t="shared" ca="1" si="361"/>
        <v/>
      </c>
      <c r="AY184" s="108" t="str">
        <f t="shared" ca="1" si="362"/>
        <v/>
      </c>
      <c r="AZ184" s="108" t="str">
        <f t="shared" ca="1" si="363"/>
        <v/>
      </c>
      <c r="BA184" s="108" t="str">
        <f t="shared" ca="1" si="364"/>
        <v/>
      </c>
      <c r="BB184" s="108" t="str">
        <f t="shared" ca="1" si="365"/>
        <v/>
      </c>
      <c r="BC184" s="108" t="str">
        <f t="shared" ca="1" si="366"/>
        <v/>
      </c>
      <c r="BD184" s="109"/>
      <c r="BE184" s="109" t="str">
        <f t="shared" ca="1" si="367"/>
        <v/>
      </c>
      <c r="BF184" s="109" t="str">
        <f t="shared" ca="1" si="368"/>
        <v/>
      </c>
      <c r="BG184" s="109" t="str">
        <f t="shared" ca="1" si="369"/>
        <v/>
      </c>
      <c r="BH184" s="109"/>
      <c r="BI184" s="109">
        <f t="shared" si="370"/>
        <v>66.739999999999995</v>
      </c>
      <c r="BJ184" s="109">
        <f t="shared" si="371"/>
        <v>24.04</v>
      </c>
      <c r="BK184" s="109">
        <f t="shared" si="372"/>
        <v>50.36</v>
      </c>
      <c r="BL184" s="109"/>
      <c r="BM184" s="109">
        <f t="shared" si="339"/>
        <v>0.76135586206896544</v>
      </c>
      <c r="BN184" s="109">
        <f t="shared" si="340"/>
        <v>0.4614758620689654</v>
      </c>
      <c r="BO184" s="109">
        <f t="shared" si="341"/>
        <v>0.71327586206896543</v>
      </c>
      <c r="BP184" s="113">
        <f t="shared" si="342"/>
        <v>0.44132963175091466</v>
      </c>
      <c r="BQ184" s="113">
        <f t="shared" si="343"/>
        <v>0.36288797897105241</v>
      </c>
      <c r="BR184" s="113">
        <f t="shared" si="344"/>
        <v>9.8275886329064352E-2</v>
      </c>
      <c r="BS184" s="113">
        <f t="shared" si="345"/>
        <v>0.42553003093423192</v>
      </c>
      <c r="BT184" s="113">
        <f t="shared" si="346"/>
        <v>0.36288797897105241</v>
      </c>
      <c r="BU184" s="113">
        <f t="shared" si="347"/>
        <v>8.1067778632845186E-2</v>
      </c>
      <c r="BV184" s="255"/>
    </row>
    <row r="185" spans="2:76">
      <c r="B185" s="7"/>
      <c r="C185" s="7"/>
      <c r="D185" s="7"/>
      <c r="E185" s="7"/>
      <c r="F185" s="7"/>
      <c r="G185" s="7"/>
      <c r="H185" s="7"/>
      <c r="I185" s="7"/>
      <c r="J185" s="7"/>
      <c r="K185" s="7"/>
      <c r="L185" s="7"/>
      <c r="M185" s="7"/>
      <c r="N185" s="7"/>
      <c r="O185" s="7"/>
      <c r="P185" s="7"/>
      <c r="Q185" s="7"/>
      <c r="R185" s="64"/>
      <c r="S185" s="64"/>
      <c r="T185" s="64"/>
      <c r="U185" s="64"/>
      <c r="V185" s="64"/>
      <c r="W185" s="64"/>
      <c r="X185" s="64"/>
      <c r="Y185" s="64"/>
      <c r="Z185" s="64"/>
      <c r="AA185" s="64"/>
      <c r="AB185" s="64"/>
      <c r="AC185" s="64"/>
      <c r="AD185" s="64"/>
      <c r="AE185" s="134"/>
      <c r="AF185" s="134"/>
      <c r="AG185" s="112">
        <f t="shared" ca="1" si="348"/>
        <v>55.04</v>
      </c>
      <c r="AH185" s="112">
        <f t="shared" ca="1" si="348"/>
        <v>-37.229999999999997</v>
      </c>
      <c r="AI185" s="112">
        <f t="shared" ca="1" si="348"/>
        <v>-8.49</v>
      </c>
      <c r="AJ185" s="112">
        <f t="shared" si="337"/>
        <v>81</v>
      </c>
      <c r="AK185" s="112">
        <f t="shared" ca="1" si="349"/>
        <v>0.53795379310344826</v>
      </c>
      <c r="AL185" s="112">
        <f t="shared" ca="1" si="350"/>
        <v>0.65486379310344822</v>
      </c>
      <c r="AM185" s="112">
        <f t="shared" ca="1" si="351"/>
        <v>0.61241379310344823</v>
      </c>
      <c r="AN185" s="112">
        <f t="shared" ca="1" si="352"/>
        <v>0.15568075251901953</v>
      </c>
      <c r="AO185" s="112">
        <f t="shared" ca="1" si="353"/>
        <v>0.22968619361187415</v>
      </c>
      <c r="AP185" s="112">
        <f t="shared" ca="1" si="354"/>
        <v>0.28083610296139982</v>
      </c>
      <c r="AQ185" s="112">
        <f t="shared" ca="1" si="355"/>
        <v>0.15010738157883863</v>
      </c>
      <c r="AR185" s="112">
        <f t="shared" ca="1" si="356"/>
        <v>0.22968619361187415</v>
      </c>
      <c r="AS185" s="112">
        <f t="shared" ca="1" si="357"/>
        <v>0.23166170133285871</v>
      </c>
      <c r="AT185" s="159"/>
      <c r="AU185" s="107" t="str">
        <f t="shared" ca="1" si="358"/>
        <v/>
      </c>
      <c r="AV185" s="107" t="str">
        <f t="shared" ca="1" si="359"/>
        <v/>
      </c>
      <c r="AW185" s="107" t="str">
        <f t="shared" ca="1" si="360"/>
        <v/>
      </c>
      <c r="AX185" s="107" t="str">
        <f t="shared" ca="1" si="361"/>
        <v/>
      </c>
      <c r="AY185" s="108" t="str">
        <f t="shared" ca="1" si="362"/>
        <v/>
      </c>
      <c r="AZ185" s="108" t="str">
        <f t="shared" ca="1" si="363"/>
        <v/>
      </c>
      <c r="BA185" s="108" t="str">
        <f t="shared" ca="1" si="364"/>
        <v/>
      </c>
      <c r="BB185" s="108" t="str">
        <f t="shared" ca="1" si="365"/>
        <v/>
      </c>
      <c r="BC185" s="108" t="str">
        <f t="shared" ca="1" si="366"/>
        <v/>
      </c>
      <c r="BD185" s="109"/>
      <c r="BE185" s="109" t="str">
        <f t="shared" ca="1" si="367"/>
        <v/>
      </c>
      <c r="BF185" s="109" t="str">
        <f t="shared" ca="1" si="368"/>
        <v/>
      </c>
      <c r="BG185" s="109" t="str">
        <f t="shared" ca="1" si="369"/>
        <v/>
      </c>
      <c r="BH185" s="109"/>
      <c r="BI185" s="109">
        <f t="shared" si="370"/>
        <v>55.04</v>
      </c>
      <c r="BJ185" s="109">
        <f t="shared" si="371"/>
        <v>-37.229999999999997</v>
      </c>
      <c r="BK185" s="109">
        <f t="shared" si="372"/>
        <v>-8.49</v>
      </c>
      <c r="BL185" s="109"/>
      <c r="BM185" s="109">
        <f t="shared" si="339"/>
        <v>0.53795379310344826</v>
      </c>
      <c r="BN185" s="109">
        <f t="shared" si="340"/>
        <v>0.65486379310344822</v>
      </c>
      <c r="BO185" s="109">
        <f t="shared" si="341"/>
        <v>0.61241379310344823</v>
      </c>
      <c r="BP185" s="113">
        <f t="shared" si="342"/>
        <v>0.15568075251901953</v>
      </c>
      <c r="BQ185" s="113">
        <f t="shared" si="343"/>
        <v>0.22968619361187415</v>
      </c>
      <c r="BR185" s="113">
        <f t="shared" si="344"/>
        <v>0.28083610296139982</v>
      </c>
      <c r="BS185" s="113">
        <f t="shared" si="345"/>
        <v>0.15010738157883863</v>
      </c>
      <c r="BT185" s="113">
        <f t="shared" si="346"/>
        <v>0.22968619361187415</v>
      </c>
      <c r="BU185" s="113">
        <f t="shared" si="347"/>
        <v>0.23166170133285871</v>
      </c>
      <c r="BV185" s="255"/>
    </row>
    <row r="186" spans="2:76">
      <c r="B186" s="7"/>
      <c r="C186" s="7"/>
      <c r="D186" s="7"/>
      <c r="E186" s="7"/>
      <c r="F186" s="7"/>
      <c r="G186" s="7"/>
      <c r="H186" s="7"/>
      <c r="I186" s="7"/>
      <c r="J186" s="7"/>
      <c r="K186" s="7"/>
      <c r="L186" s="7"/>
      <c r="M186" s="7"/>
      <c r="N186" s="7"/>
      <c r="O186" s="7"/>
      <c r="P186" s="7"/>
      <c r="Q186" s="7"/>
      <c r="R186" s="64"/>
      <c r="S186" s="64"/>
      <c r="T186" s="64"/>
      <c r="U186" s="64"/>
      <c r="V186" s="64"/>
      <c r="W186" s="64"/>
      <c r="X186" s="64"/>
      <c r="Y186" s="64"/>
      <c r="Z186" s="64"/>
      <c r="AA186" s="64"/>
      <c r="AB186" s="64"/>
      <c r="AC186" s="64"/>
      <c r="AD186" s="64"/>
      <c r="AE186" s="134"/>
      <c r="AF186" s="134"/>
      <c r="AG186" s="112">
        <f t="shared" ca="1" si="348"/>
        <v>29.88</v>
      </c>
      <c r="AH186" s="112">
        <f t="shared" ca="1" si="348"/>
        <v>-6.79</v>
      </c>
      <c r="AI186" s="112">
        <f t="shared" ca="1" si="348"/>
        <v>-9.7899999999999991</v>
      </c>
      <c r="AJ186" s="112">
        <f t="shared" si="337"/>
        <v>82</v>
      </c>
      <c r="AK186" s="112">
        <f t="shared" ca="1" si="349"/>
        <v>0.38193724137931034</v>
      </c>
      <c r="AL186" s="112">
        <f t="shared" ca="1" si="350"/>
        <v>0.44446724137931032</v>
      </c>
      <c r="AM186" s="112">
        <f t="shared" ca="1" si="351"/>
        <v>0.39551724137931032</v>
      </c>
      <c r="AN186" s="112">
        <f t="shared" ca="1" si="352"/>
        <v>5.5715498546542834E-2</v>
      </c>
      <c r="AO186" s="112">
        <f t="shared" ca="1" si="353"/>
        <v>6.1872299930296436E-2</v>
      </c>
      <c r="AP186" s="112">
        <f t="shared" ca="1" si="354"/>
        <v>8.7805005186583435E-2</v>
      </c>
      <c r="AQ186" s="112">
        <f t="shared" ca="1" si="355"/>
        <v>5.3720883698576596E-2</v>
      </c>
      <c r="AR186" s="112">
        <f t="shared" ca="1" si="356"/>
        <v>6.1872299930296436E-2</v>
      </c>
      <c r="AS186" s="112">
        <f t="shared" ca="1" si="357"/>
        <v>7.2430348778412673E-2</v>
      </c>
      <c r="AT186" s="159"/>
      <c r="AU186" s="107" t="str">
        <f t="shared" ca="1" si="358"/>
        <v/>
      </c>
      <c r="AV186" s="107" t="str">
        <f t="shared" ca="1" si="359"/>
        <v/>
      </c>
      <c r="AW186" s="107" t="str">
        <f t="shared" ca="1" si="360"/>
        <v/>
      </c>
      <c r="AX186" s="107" t="str">
        <f t="shared" ca="1" si="361"/>
        <v/>
      </c>
      <c r="AY186" s="108" t="str">
        <f t="shared" ca="1" si="362"/>
        <v/>
      </c>
      <c r="AZ186" s="108" t="str">
        <f t="shared" ca="1" si="363"/>
        <v/>
      </c>
      <c r="BA186" s="108" t="str">
        <f t="shared" ca="1" si="364"/>
        <v/>
      </c>
      <c r="BB186" s="108" t="str">
        <f t="shared" ca="1" si="365"/>
        <v/>
      </c>
      <c r="BC186" s="108" t="str">
        <f t="shared" ca="1" si="366"/>
        <v/>
      </c>
      <c r="BD186" s="109"/>
      <c r="BE186" s="109" t="str">
        <f t="shared" ca="1" si="367"/>
        <v/>
      </c>
      <c r="BF186" s="109" t="str">
        <f t="shared" ca="1" si="368"/>
        <v/>
      </c>
      <c r="BG186" s="109" t="str">
        <f t="shared" ca="1" si="369"/>
        <v/>
      </c>
      <c r="BH186" s="109"/>
      <c r="BI186" s="109">
        <f t="shared" si="370"/>
        <v>29.88</v>
      </c>
      <c r="BJ186" s="109">
        <f t="shared" si="371"/>
        <v>-6.79</v>
      </c>
      <c r="BK186" s="109">
        <f t="shared" si="372"/>
        <v>-9.7899999999999991</v>
      </c>
      <c r="BL186" s="109"/>
      <c r="BM186" s="109">
        <f t="shared" si="339"/>
        <v>0.38193724137931034</v>
      </c>
      <c r="BN186" s="109">
        <f t="shared" si="340"/>
        <v>0.44446724137931032</v>
      </c>
      <c r="BO186" s="109">
        <f t="shared" si="341"/>
        <v>0.39551724137931032</v>
      </c>
      <c r="BP186" s="113">
        <f t="shared" si="342"/>
        <v>5.5715498546542834E-2</v>
      </c>
      <c r="BQ186" s="113">
        <f t="shared" si="343"/>
        <v>6.1872299930296436E-2</v>
      </c>
      <c r="BR186" s="113">
        <f t="shared" si="344"/>
        <v>8.7805005186583435E-2</v>
      </c>
      <c r="BS186" s="113">
        <f t="shared" si="345"/>
        <v>5.3720883698576596E-2</v>
      </c>
      <c r="BT186" s="113">
        <f t="shared" si="346"/>
        <v>6.1872299930296436E-2</v>
      </c>
      <c r="BU186" s="113">
        <f t="shared" si="347"/>
        <v>7.2430348778412673E-2</v>
      </c>
      <c r="BV186" s="255"/>
    </row>
    <row r="187" spans="2:76">
      <c r="B187" s="7"/>
      <c r="C187" s="7"/>
      <c r="D187" s="7"/>
      <c r="E187" s="7"/>
      <c r="F187" s="7"/>
      <c r="G187" s="7"/>
      <c r="H187" s="7"/>
      <c r="I187" s="7"/>
      <c r="J187" s="7"/>
      <c r="K187" s="7"/>
      <c r="L187" s="7"/>
      <c r="M187" s="7"/>
      <c r="N187" s="7"/>
      <c r="O187" s="7"/>
      <c r="P187" s="7"/>
      <c r="Q187" s="7"/>
      <c r="R187" s="64"/>
      <c r="S187" s="64"/>
      <c r="T187" s="64"/>
      <c r="U187" s="64"/>
      <c r="V187" s="64"/>
      <c r="W187" s="64"/>
      <c r="X187" s="64"/>
      <c r="Y187" s="64"/>
      <c r="Z187" s="64"/>
      <c r="AA187" s="64"/>
      <c r="AB187" s="64"/>
      <c r="AC187" s="64"/>
      <c r="AD187" s="64"/>
      <c r="AE187" s="134"/>
      <c r="AF187" s="134"/>
      <c r="AG187" s="112">
        <f t="shared" ca="1" si="348"/>
        <v>29.16</v>
      </c>
      <c r="AH187" s="112">
        <f t="shared" ca="1" si="348"/>
        <v>17.760000000000002</v>
      </c>
      <c r="AI187" s="112">
        <f t="shared" ca="1" si="348"/>
        <v>0.51</v>
      </c>
      <c r="AJ187" s="112">
        <f t="shared" si="337"/>
        <v>83</v>
      </c>
      <c r="AK187" s="112">
        <f t="shared" ca="1" si="349"/>
        <v>0.42483034482758619</v>
      </c>
      <c r="AL187" s="112">
        <f t="shared" ca="1" si="350"/>
        <v>0.3867603448275862</v>
      </c>
      <c r="AM187" s="112">
        <f t="shared" ca="1" si="351"/>
        <v>0.3893103448275862</v>
      </c>
      <c r="AN187" s="112">
        <f t="shared" ca="1" si="352"/>
        <v>7.6673729796733953E-2</v>
      </c>
      <c r="AO187" s="112">
        <f t="shared" ca="1" si="353"/>
        <v>5.9004866497191361E-2</v>
      </c>
      <c r="AP187" s="112">
        <f t="shared" ca="1" si="354"/>
        <v>5.7852990921256307E-2</v>
      </c>
      <c r="AQ187" s="112">
        <f t="shared" ca="1" si="355"/>
        <v>7.3928810270010872E-2</v>
      </c>
      <c r="AR187" s="112">
        <f t="shared" ca="1" si="356"/>
        <v>5.9004866497191361E-2</v>
      </c>
      <c r="AS187" s="112">
        <f t="shared" ca="1" si="357"/>
        <v>4.7722932210944327E-2</v>
      </c>
      <c r="AT187" s="159"/>
      <c r="AU187" s="107" t="str">
        <f t="shared" ca="1" si="358"/>
        <v/>
      </c>
      <c r="AV187" s="107" t="str">
        <f t="shared" ca="1" si="359"/>
        <v/>
      </c>
      <c r="AW187" s="107" t="str">
        <f t="shared" ca="1" si="360"/>
        <v/>
      </c>
      <c r="AX187" s="107" t="str">
        <f t="shared" ca="1" si="361"/>
        <v/>
      </c>
      <c r="AY187" s="108" t="str">
        <f t="shared" ca="1" si="362"/>
        <v/>
      </c>
      <c r="AZ187" s="108" t="str">
        <f t="shared" ca="1" si="363"/>
        <v/>
      </c>
      <c r="BA187" s="108" t="str">
        <f t="shared" ca="1" si="364"/>
        <v/>
      </c>
      <c r="BB187" s="108" t="str">
        <f t="shared" ca="1" si="365"/>
        <v/>
      </c>
      <c r="BC187" s="108" t="str">
        <f t="shared" ca="1" si="366"/>
        <v/>
      </c>
      <c r="BD187" s="109"/>
      <c r="BE187" s="109" t="str">
        <f t="shared" ca="1" si="367"/>
        <v/>
      </c>
      <c r="BF187" s="109" t="str">
        <f t="shared" ca="1" si="368"/>
        <v/>
      </c>
      <c r="BG187" s="109" t="str">
        <f t="shared" ca="1" si="369"/>
        <v/>
      </c>
      <c r="BH187" s="109"/>
      <c r="BI187" s="109">
        <f t="shared" si="370"/>
        <v>29.16</v>
      </c>
      <c r="BJ187" s="109">
        <f t="shared" si="371"/>
        <v>17.760000000000002</v>
      </c>
      <c r="BK187" s="109">
        <f t="shared" si="372"/>
        <v>0.51</v>
      </c>
      <c r="BL187" s="109"/>
      <c r="BM187" s="109">
        <f t="shared" si="339"/>
        <v>0.42483034482758619</v>
      </c>
      <c r="BN187" s="109">
        <f t="shared" si="340"/>
        <v>0.3867603448275862</v>
      </c>
      <c r="BO187" s="109">
        <f t="shared" si="341"/>
        <v>0.3893103448275862</v>
      </c>
      <c r="BP187" s="113">
        <f t="shared" si="342"/>
        <v>7.6673729796733953E-2</v>
      </c>
      <c r="BQ187" s="113">
        <f t="shared" si="343"/>
        <v>5.9004866497191361E-2</v>
      </c>
      <c r="BR187" s="113">
        <f t="shared" si="344"/>
        <v>5.7852990921256307E-2</v>
      </c>
      <c r="BS187" s="113">
        <f t="shared" si="345"/>
        <v>7.3928810270010872E-2</v>
      </c>
      <c r="BT187" s="113">
        <f t="shared" si="346"/>
        <v>5.9004866497191361E-2</v>
      </c>
      <c r="BU187" s="113">
        <f t="shared" si="347"/>
        <v>4.7722932210944327E-2</v>
      </c>
      <c r="BV187" s="255"/>
    </row>
    <row r="188" spans="2:76">
      <c r="B188" s="7"/>
      <c r="C188" s="7"/>
      <c r="D188" s="7"/>
      <c r="E188" s="7"/>
      <c r="F188" s="7"/>
      <c r="G188" s="7"/>
      <c r="H188" s="7"/>
      <c r="I188" s="7"/>
      <c r="J188" s="7"/>
      <c r="K188" s="7"/>
      <c r="L188" s="7"/>
      <c r="M188" s="7"/>
      <c r="N188" s="7"/>
      <c r="O188" s="7"/>
      <c r="P188" s="7"/>
      <c r="Q188" s="7"/>
      <c r="R188" s="64"/>
      <c r="S188" s="64"/>
      <c r="T188" s="64"/>
      <c r="U188" s="64"/>
      <c r="V188" s="64"/>
      <c r="W188" s="64"/>
      <c r="X188" s="64"/>
      <c r="Y188" s="64"/>
      <c r="Z188" s="64"/>
      <c r="AA188" s="64"/>
      <c r="AB188" s="64"/>
      <c r="AC188" s="64"/>
      <c r="AD188" s="64"/>
      <c r="AE188" s="134"/>
      <c r="AF188" s="134"/>
      <c r="AG188" s="112">
        <f t="shared" ca="1" si="348"/>
        <v>36.840000000000003</v>
      </c>
      <c r="AH188" s="112">
        <f t="shared" ca="1" si="348"/>
        <v>-2.7</v>
      </c>
      <c r="AI188" s="112">
        <f t="shared" ca="1" si="348"/>
        <v>18.010000000000002</v>
      </c>
      <c r="AJ188" s="112">
        <f t="shared" si="337"/>
        <v>84</v>
      </c>
      <c r="AK188" s="112">
        <f t="shared" ca="1" si="349"/>
        <v>0.45011724137931036</v>
      </c>
      <c r="AL188" s="112">
        <f t="shared" ca="1" si="350"/>
        <v>0.36546724137931036</v>
      </c>
      <c r="AM188" s="112">
        <f t="shared" ca="1" si="351"/>
        <v>0.45551724137931038</v>
      </c>
      <c r="AN188" s="112">
        <f t="shared" ca="1" si="352"/>
        <v>9.1196242696022972E-2</v>
      </c>
      <c r="AO188" s="112">
        <f t="shared" ca="1" si="353"/>
        <v>9.4517986018286954E-2</v>
      </c>
      <c r="AP188" s="112">
        <f t="shared" ca="1" si="354"/>
        <v>4.8814108854666104E-2</v>
      </c>
      <c r="AQ188" s="112">
        <f t="shared" ca="1" si="355"/>
        <v>8.7931417207505344E-2</v>
      </c>
      <c r="AR188" s="112">
        <f t="shared" ca="1" si="356"/>
        <v>9.4517986018286954E-2</v>
      </c>
      <c r="AS188" s="112">
        <f t="shared" ca="1" si="357"/>
        <v>4.0266758394214064E-2</v>
      </c>
      <c r="AT188" s="159"/>
      <c r="AU188" s="107" t="str">
        <f t="shared" ca="1" si="358"/>
        <v/>
      </c>
      <c r="AV188" s="107" t="str">
        <f t="shared" ca="1" si="359"/>
        <v/>
      </c>
      <c r="AW188" s="107" t="str">
        <f t="shared" ca="1" si="360"/>
        <v/>
      </c>
      <c r="AX188" s="107" t="str">
        <f t="shared" ca="1" si="361"/>
        <v/>
      </c>
      <c r="AY188" s="108" t="str">
        <f t="shared" ca="1" si="362"/>
        <v/>
      </c>
      <c r="AZ188" s="108" t="str">
        <f t="shared" ca="1" si="363"/>
        <v/>
      </c>
      <c r="BA188" s="108" t="str">
        <f t="shared" ca="1" si="364"/>
        <v/>
      </c>
      <c r="BB188" s="108" t="str">
        <f t="shared" ca="1" si="365"/>
        <v/>
      </c>
      <c r="BC188" s="108" t="str">
        <f t="shared" ca="1" si="366"/>
        <v/>
      </c>
      <c r="BD188" s="109"/>
      <c r="BE188" s="109" t="str">
        <f t="shared" ca="1" si="367"/>
        <v/>
      </c>
      <c r="BF188" s="109" t="str">
        <f t="shared" ca="1" si="368"/>
        <v/>
      </c>
      <c r="BG188" s="109" t="str">
        <f t="shared" ca="1" si="369"/>
        <v/>
      </c>
      <c r="BH188" s="109"/>
      <c r="BI188" s="109">
        <f t="shared" si="370"/>
        <v>36.840000000000003</v>
      </c>
      <c r="BJ188" s="109">
        <f t="shared" si="371"/>
        <v>-2.7</v>
      </c>
      <c r="BK188" s="109">
        <f t="shared" si="372"/>
        <v>18.010000000000002</v>
      </c>
      <c r="BL188" s="109"/>
      <c r="BM188" s="109">
        <f t="shared" si="339"/>
        <v>0.45011724137931036</v>
      </c>
      <c r="BN188" s="109">
        <f t="shared" si="340"/>
        <v>0.36546724137931036</v>
      </c>
      <c r="BO188" s="109">
        <f t="shared" si="341"/>
        <v>0.45551724137931038</v>
      </c>
      <c r="BP188" s="113">
        <f t="shared" si="342"/>
        <v>9.1196242696022972E-2</v>
      </c>
      <c r="BQ188" s="113">
        <f t="shared" si="343"/>
        <v>9.4517986018286954E-2</v>
      </c>
      <c r="BR188" s="113">
        <f t="shared" si="344"/>
        <v>4.8814108854666104E-2</v>
      </c>
      <c r="BS188" s="113">
        <f t="shared" si="345"/>
        <v>8.7931417207505344E-2</v>
      </c>
      <c r="BT188" s="113">
        <f t="shared" si="346"/>
        <v>9.4517986018286954E-2</v>
      </c>
      <c r="BU188" s="113">
        <f t="shared" si="347"/>
        <v>4.0266758394214064E-2</v>
      </c>
      <c r="BV188" s="255"/>
    </row>
    <row r="189" spans="2:76">
      <c r="B189" s="7"/>
      <c r="C189" s="7"/>
      <c r="D189" s="7"/>
      <c r="E189" s="7"/>
      <c r="F189" s="7"/>
      <c r="G189" s="7"/>
      <c r="H189" s="7"/>
      <c r="I189" s="7"/>
      <c r="J189" s="7"/>
      <c r="K189" s="7"/>
      <c r="L189" s="7"/>
      <c r="M189" s="7"/>
      <c r="N189" s="7"/>
      <c r="O189" s="7"/>
      <c r="P189" s="7"/>
      <c r="Q189" s="7"/>
      <c r="R189" s="64"/>
      <c r="S189" s="64"/>
      <c r="T189" s="64"/>
      <c r="U189" s="64"/>
      <c r="V189" s="64"/>
      <c r="W189" s="64"/>
      <c r="X189" s="64"/>
      <c r="Y189" s="64"/>
      <c r="Z189" s="64"/>
      <c r="AA189" s="64"/>
      <c r="AB189" s="64"/>
      <c r="AC189" s="64"/>
      <c r="AD189" s="64"/>
      <c r="AE189" s="134"/>
      <c r="AF189" s="134"/>
      <c r="AY189" s="108"/>
      <c r="AZ189" s="108"/>
      <c r="BA189" s="108"/>
      <c r="BB189" s="108"/>
      <c r="BC189" s="108"/>
      <c r="BD189" s="109"/>
      <c r="BE189" s="109"/>
      <c r="BF189" s="109"/>
      <c r="BG189" s="109"/>
      <c r="BH189" s="109"/>
      <c r="BI189" s="109"/>
      <c r="BJ189" s="109"/>
      <c r="BK189" s="109"/>
      <c r="BL189" s="109"/>
      <c r="BM189" s="108"/>
      <c r="BN189" s="108"/>
      <c r="BO189" s="108"/>
      <c r="BP189" s="111"/>
      <c r="BQ189" s="111"/>
      <c r="BR189" s="111"/>
      <c r="BS189" s="111"/>
      <c r="BT189" s="111"/>
      <c r="BU189" s="111"/>
      <c r="BV189" s="111"/>
      <c r="BW189" s="112"/>
      <c r="BX189" s="112"/>
    </row>
    <row r="190" spans="2:76">
      <c r="B190" s="7"/>
      <c r="C190" s="7"/>
      <c r="D190" s="7"/>
      <c r="E190" s="7"/>
      <c r="F190" s="7"/>
      <c r="G190" s="7"/>
      <c r="H190" s="7"/>
      <c r="I190" s="7"/>
      <c r="J190" s="7"/>
      <c r="K190" s="7"/>
      <c r="L190" s="7"/>
      <c r="M190" s="7"/>
      <c r="N190" s="7"/>
      <c r="O190" s="7"/>
      <c r="P190" s="7"/>
      <c r="Q190" s="7"/>
      <c r="R190" s="64"/>
      <c r="S190" s="64"/>
      <c r="T190" s="64"/>
      <c r="U190" s="64"/>
      <c r="V190" s="64"/>
      <c r="W190" s="64"/>
      <c r="X190" s="64"/>
      <c r="Y190" s="64"/>
      <c r="Z190" s="64"/>
      <c r="AA190" s="64"/>
      <c r="AB190" s="64"/>
      <c r="AC190" s="64"/>
      <c r="AD190" s="64"/>
      <c r="AE190" s="134"/>
      <c r="AF190" s="134"/>
      <c r="AY190" s="108"/>
      <c r="AZ190" s="108"/>
      <c r="BA190" s="108"/>
      <c r="BB190" s="108"/>
      <c r="BC190" s="108"/>
      <c r="BD190" s="109"/>
      <c r="BE190" s="109"/>
      <c r="BF190" s="109"/>
      <c r="BG190" s="109"/>
      <c r="BH190" s="109"/>
      <c r="BI190" s="109"/>
      <c r="BJ190" s="109"/>
      <c r="BK190" s="109"/>
      <c r="BL190" s="109"/>
      <c r="BM190" s="108"/>
      <c r="BN190" s="108"/>
      <c r="BO190" s="108"/>
      <c r="BP190" s="111"/>
      <c r="BQ190" s="111"/>
      <c r="BR190" s="111"/>
      <c r="BS190" s="111"/>
      <c r="BT190" s="111"/>
      <c r="BU190" s="111"/>
      <c r="BV190" s="111"/>
    </row>
    <row r="191" spans="2:76">
      <c r="B191" s="7"/>
      <c r="C191" s="7"/>
      <c r="D191" s="7"/>
      <c r="E191" s="7"/>
      <c r="F191" s="7"/>
      <c r="G191" s="7"/>
      <c r="H191" s="7"/>
      <c r="I191" s="7"/>
      <c r="J191" s="7"/>
      <c r="K191" s="7"/>
      <c r="L191" s="7"/>
      <c r="M191" s="7"/>
      <c r="N191" s="7"/>
      <c r="O191" s="7"/>
      <c r="P191" s="7"/>
      <c r="Q191" s="7"/>
      <c r="R191" s="64"/>
      <c r="S191" s="64"/>
      <c r="T191" s="64"/>
      <c r="U191" s="64"/>
      <c r="V191" s="64"/>
      <c r="W191" s="64"/>
      <c r="X191" s="64"/>
      <c r="Y191" s="64"/>
      <c r="Z191" s="64"/>
      <c r="AA191" s="64"/>
      <c r="AB191" s="64"/>
      <c r="AC191" s="64"/>
      <c r="AD191" s="64"/>
      <c r="AE191" s="134"/>
      <c r="AF191" s="134"/>
      <c r="AY191" s="108"/>
      <c r="AZ191" s="108"/>
      <c r="BA191" s="108"/>
      <c r="BB191" s="108"/>
      <c r="BC191" s="108"/>
      <c r="BD191" s="109"/>
      <c r="BE191" s="109"/>
      <c r="BF191" s="109"/>
      <c r="BG191" s="109"/>
      <c r="BH191" s="109"/>
      <c r="BI191" s="109"/>
      <c r="BJ191" s="109"/>
      <c r="BK191" s="109"/>
      <c r="BL191" s="109"/>
      <c r="BM191" s="108"/>
      <c r="BN191" s="108"/>
      <c r="BO191" s="108"/>
      <c r="BP191" s="111"/>
      <c r="BQ191" s="111"/>
      <c r="BR191" s="111"/>
      <c r="BS191" s="111"/>
      <c r="BT191" s="111"/>
      <c r="BU191" s="111"/>
      <c r="BV191" s="111"/>
    </row>
    <row r="192" spans="2:76">
      <c r="B192" s="7"/>
      <c r="C192" s="7"/>
      <c r="D192" s="7"/>
      <c r="E192" s="7"/>
      <c r="F192" s="7"/>
      <c r="G192" s="7"/>
      <c r="H192" s="7"/>
      <c r="I192" s="7"/>
      <c r="J192" s="7"/>
      <c r="K192" s="7"/>
      <c r="L192" s="7"/>
      <c r="M192" s="7"/>
      <c r="N192" s="7"/>
      <c r="O192" s="7"/>
      <c r="P192" s="7"/>
      <c r="Q192" s="7"/>
      <c r="R192" s="64"/>
      <c r="S192" s="64"/>
      <c r="T192" s="64"/>
      <c r="U192" s="64"/>
      <c r="V192" s="64"/>
      <c r="W192" s="64"/>
      <c r="X192" s="64"/>
      <c r="Y192" s="64"/>
      <c r="Z192" s="64"/>
      <c r="AA192" s="64"/>
      <c r="AB192" s="64"/>
      <c r="AC192" s="64"/>
      <c r="AD192" s="64"/>
      <c r="AE192" s="134"/>
      <c r="AF192" s="134"/>
      <c r="AY192" s="108"/>
      <c r="AZ192" s="108"/>
      <c r="BA192" s="108"/>
      <c r="BB192" s="108"/>
      <c r="BC192" s="108"/>
      <c r="BD192" s="109"/>
      <c r="BE192" s="109"/>
      <c r="BF192" s="109"/>
      <c r="BG192" s="109"/>
      <c r="BH192" s="109"/>
      <c r="BI192" s="109"/>
      <c r="BJ192" s="109"/>
      <c r="BK192" s="109"/>
      <c r="BL192" s="109"/>
      <c r="BM192" s="108"/>
      <c r="BN192" s="108"/>
      <c r="BO192" s="108"/>
      <c r="BP192" s="111"/>
      <c r="BQ192" s="111"/>
      <c r="BR192" s="111"/>
      <c r="BS192" s="111"/>
      <c r="BT192" s="111"/>
      <c r="BU192" s="111"/>
      <c r="BV192" s="111"/>
    </row>
    <row r="193" spans="2:110">
      <c r="B193" s="7"/>
      <c r="C193" s="7"/>
      <c r="D193" s="7"/>
      <c r="E193" s="7"/>
      <c r="F193" s="7"/>
      <c r="G193" s="7"/>
      <c r="H193" s="7"/>
      <c r="I193" s="7"/>
      <c r="J193" s="7"/>
      <c r="K193" s="7"/>
      <c r="L193" s="7"/>
      <c r="M193" s="7"/>
      <c r="N193" s="7"/>
      <c r="O193" s="7"/>
      <c r="P193" s="7"/>
      <c r="Q193" s="7"/>
      <c r="R193" s="64"/>
      <c r="S193" s="64"/>
      <c r="T193" s="64"/>
      <c r="U193" s="64"/>
      <c r="V193" s="64"/>
      <c r="W193" s="64"/>
      <c r="X193" s="64"/>
      <c r="Y193" s="64"/>
      <c r="Z193" s="64"/>
      <c r="AA193" s="64"/>
      <c r="AB193" s="64"/>
      <c r="AC193" s="64"/>
      <c r="AD193" s="64"/>
      <c r="AE193" s="134"/>
      <c r="AF193" s="134"/>
      <c r="AY193" s="108"/>
      <c r="AZ193" s="108"/>
      <c r="BA193" s="108"/>
      <c r="BB193" s="108"/>
      <c r="BC193" s="108"/>
      <c r="BD193" s="108"/>
      <c r="BE193" s="109"/>
      <c r="BF193" s="109"/>
      <c r="BG193" s="109"/>
      <c r="BH193" s="108"/>
      <c r="BI193" s="108"/>
      <c r="BJ193" s="108"/>
      <c r="BK193" s="108"/>
      <c r="BL193" s="108"/>
      <c r="BM193" s="108"/>
      <c r="BN193" s="108"/>
      <c r="BO193" s="108"/>
      <c r="BP193" s="111"/>
      <c r="BQ193" s="111"/>
      <c r="BR193" s="111"/>
      <c r="BS193" s="111"/>
      <c r="BT193" s="111"/>
      <c r="BU193" s="111"/>
      <c r="BV193" s="111"/>
    </row>
    <row r="194" spans="2:110">
      <c r="B194" s="7"/>
      <c r="C194" s="7"/>
      <c r="D194" s="7"/>
      <c r="E194" s="7"/>
      <c r="F194" s="7"/>
      <c r="G194" s="7"/>
      <c r="H194" s="7"/>
      <c r="I194" s="7"/>
      <c r="J194" s="7"/>
      <c r="K194" s="7"/>
      <c r="L194" s="7"/>
      <c r="M194" s="7"/>
      <c r="N194" s="7"/>
      <c r="O194" s="7"/>
      <c r="P194" s="7"/>
      <c r="Q194" s="7"/>
      <c r="R194" s="64"/>
      <c r="S194" s="64"/>
      <c r="T194" s="64"/>
      <c r="U194" s="64"/>
      <c r="V194" s="64"/>
      <c r="W194" s="64"/>
      <c r="X194" s="64"/>
      <c r="Y194" s="64"/>
      <c r="Z194" s="64"/>
      <c r="AA194" s="64"/>
      <c r="AB194" s="64"/>
      <c r="AC194" s="64"/>
      <c r="AD194" s="64"/>
      <c r="AE194" s="134"/>
      <c r="AF194" s="134"/>
      <c r="AG194" s="116" t="s">
        <v>146</v>
      </c>
      <c r="AH194" s="109"/>
      <c r="AI194" s="109"/>
      <c r="AJ194" s="109"/>
      <c r="AK194" s="108"/>
      <c r="AL194" s="108"/>
      <c r="AM194" s="108"/>
      <c r="AN194" s="108"/>
      <c r="AO194" s="108"/>
      <c r="AP194" s="108"/>
      <c r="AQ194" s="116" t="s">
        <v>147</v>
      </c>
      <c r="AR194" s="108"/>
      <c r="AS194" s="108"/>
      <c r="AT194" s="108"/>
      <c r="AU194" s="108"/>
      <c r="AV194" s="108"/>
      <c r="AW194" s="108"/>
      <c r="AX194" s="108"/>
      <c r="AY194" s="108"/>
      <c r="AZ194" s="108"/>
      <c r="BK194" s="107"/>
      <c r="BN194" s="109"/>
      <c r="BO194" s="109"/>
      <c r="BP194" s="116" t="s">
        <v>148</v>
      </c>
      <c r="BQ194" s="108"/>
      <c r="BR194" s="108"/>
      <c r="BS194" s="108"/>
      <c r="BT194" s="108"/>
      <c r="BU194" s="108"/>
      <c r="BW194" s="108"/>
      <c r="BX194" s="108"/>
      <c r="BY194" s="108"/>
      <c r="BZ194" s="116" t="s">
        <v>149</v>
      </c>
      <c r="CA194" s="108"/>
      <c r="CB194" s="108"/>
      <c r="CC194" s="108"/>
      <c r="CD194" s="108"/>
      <c r="CE194" s="108"/>
      <c r="CF194" s="108"/>
    </row>
    <row r="195" spans="2:110">
      <c r="B195" s="7"/>
      <c r="C195" s="7"/>
      <c r="D195" s="7"/>
      <c r="E195" s="7"/>
      <c r="F195" s="7"/>
      <c r="G195" s="7"/>
      <c r="H195" s="7"/>
      <c r="I195" s="7"/>
      <c r="J195" s="7"/>
      <c r="K195" s="7"/>
      <c r="L195" s="7"/>
      <c r="M195" s="7"/>
      <c r="N195" s="7"/>
      <c r="O195" s="7"/>
      <c r="P195" s="7"/>
      <c r="Q195" s="7"/>
      <c r="R195" s="64"/>
      <c r="S195" s="64"/>
      <c r="T195" s="64"/>
      <c r="U195" s="64"/>
      <c r="V195" s="64"/>
      <c r="W195" s="64"/>
      <c r="X195" s="64"/>
      <c r="Y195" s="64"/>
      <c r="Z195" s="64"/>
      <c r="AA195" s="64"/>
      <c r="AB195" s="64"/>
      <c r="AC195" s="64"/>
      <c r="AD195" s="64"/>
      <c r="AE195" s="134"/>
      <c r="AF195" s="134"/>
      <c r="AH195" s="109"/>
      <c r="AI195" s="109"/>
      <c r="AJ195" s="109"/>
      <c r="AK195" s="108"/>
      <c r="AL195" s="108"/>
      <c r="AM195" s="108"/>
      <c r="AN195" s="108"/>
      <c r="AP195" s="108"/>
      <c r="AQ195" s="108"/>
      <c r="AR195" s="108"/>
      <c r="AS195" s="108"/>
      <c r="AT195" s="108"/>
      <c r="AU195" s="108"/>
      <c r="AV195" s="108"/>
      <c r="AW195" s="108"/>
      <c r="AX195" s="108"/>
      <c r="AY195" s="108"/>
      <c r="BL195" s="112"/>
      <c r="BM195" s="109"/>
      <c r="BN195" s="109"/>
      <c r="BO195" s="109"/>
      <c r="BP195" s="108"/>
      <c r="BQ195" s="108"/>
      <c r="BR195" s="108"/>
      <c r="BS195" s="108"/>
      <c r="BU195" s="108"/>
      <c r="BV195" s="108"/>
      <c r="BW195" s="108"/>
      <c r="BX195" s="108"/>
      <c r="BY195" s="108"/>
      <c r="BZ195" s="108"/>
      <c r="CA195" s="108"/>
      <c r="CB195" s="108"/>
      <c r="CC195" s="108"/>
      <c r="CD195" s="108"/>
      <c r="CE195" s="108"/>
    </row>
    <row r="196" spans="2:110">
      <c r="B196" s="7"/>
      <c r="C196" s="7"/>
      <c r="D196" s="7"/>
      <c r="E196" s="7"/>
      <c r="F196" s="7"/>
      <c r="G196" s="7"/>
      <c r="H196" s="7"/>
      <c r="I196" s="7"/>
      <c r="J196" s="7"/>
      <c r="K196" s="7"/>
      <c r="L196" s="7"/>
      <c r="M196" s="7"/>
      <c r="N196" s="7"/>
      <c r="O196" s="7"/>
      <c r="P196" s="7"/>
      <c r="Q196" s="7"/>
      <c r="R196" s="64"/>
      <c r="S196" s="64"/>
      <c r="T196" s="64"/>
      <c r="U196" s="64"/>
      <c r="V196" s="64"/>
      <c r="W196" s="64"/>
      <c r="X196" s="64"/>
      <c r="Y196" s="64"/>
      <c r="Z196" s="64"/>
      <c r="AA196" s="64"/>
      <c r="AB196" s="64"/>
      <c r="AC196" s="64"/>
      <c r="AD196" s="64"/>
      <c r="AE196" s="134"/>
      <c r="AF196" s="134"/>
      <c r="AG196" s="130" t="s">
        <v>10</v>
      </c>
      <c r="AH196" s="130" t="s">
        <v>11</v>
      </c>
      <c r="AI196" s="130" t="s">
        <v>12</v>
      </c>
      <c r="AJ196" s="130" t="s">
        <v>13</v>
      </c>
      <c r="AK196" s="130" t="str">
        <f t="shared" ref="AK196:AK227" si="373">CP13</f>
        <v>∆E76</v>
      </c>
      <c r="AL196" s="130" t="str">
        <f t="shared" ref="AL196:AM196" si="374">AW13</f>
        <v>∆H</v>
      </c>
      <c r="AM196" s="130" t="str">
        <f t="shared" si="374"/>
        <v>∆F</v>
      </c>
      <c r="AN196" s="130" t="str">
        <f t="shared" ref="AN196:AN227" si="375">AS13</f>
        <v>∆L</v>
      </c>
      <c r="AO196" s="130"/>
      <c r="AQ196" s="109" t="s">
        <v>158</v>
      </c>
      <c r="AR196" s="109"/>
      <c r="AS196" s="109"/>
      <c r="AT196" s="109" t="s">
        <v>182</v>
      </c>
      <c r="AU196" s="109"/>
      <c r="AV196" s="109"/>
      <c r="AW196" s="109" t="s">
        <v>183</v>
      </c>
      <c r="AX196" s="109"/>
      <c r="AY196" s="109"/>
      <c r="AZ196" s="109" t="s">
        <v>159</v>
      </c>
      <c r="BA196" s="109"/>
      <c r="BB196" s="109"/>
      <c r="BC196" s="109" t="s">
        <v>160</v>
      </c>
      <c r="BD196" s="109"/>
      <c r="BE196" s="109"/>
      <c r="BF196" s="109" t="s">
        <v>156</v>
      </c>
      <c r="BG196" s="109"/>
      <c r="BH196" s="109"/>
      <c r="BI196" s="109" t="s">
        <v>161</v>
      </c>
      <c r="BJ196" s="109"/>
      <c r="BK196" s="109"/>
      <c r="BL196" s="109" t="s">
        <v>162</v>
      </c>
      <c r="BM196" s="109"/>
      <c r="BN196" s="109"/>
      <c r="BP196" s="130" t="s">
        <v>10</v>
      </c>
      <c r="BQ196" s="130" t="s">
        <v>11</v>
      </c>
      <c r="BR196" s="130" t="s">
        <v>12</v>
      </c>
      <c r="BS196" s="130" t="s">
        <v>13</v>
      </c>
      <c r="BT196" s="130">
        <f>EN13</f>
        <v>0</v>
      </c>
      <c r="BU196" s="130" t="str">
        <f>CD13</f>
        <v>KH</v>
      </c>
      <c r="BV196" s="130" t="str">
        <f>CN13</f>
        <v>∆E2000</v>
      </c>
      <c r="BW196" s="130" t="str">
        <f>BZ13</f>
        <v>RC</v>
      </c>
      <c r="BX196" s="130"/>
      <c r="BZ196" s="109" t="s">
        <v>163</v>
      </c>
      <c r="CA196" s="109"/>
      <c r="CB196" s="109"/>
      <c r="CC196" s="109" t="s">
        <v>184</v>
      </c>
      <c r="CD196" s="109"/>
      <c r="CE196" s="109"/>
      <c r="CF196" s="109" t="s">
        <v>185</v>
      </c>
      <c r="CG196" s="109"/>
      <c r="CH196" s="109"/>
      <c r="CI196" s="109" t="s">
        <v>164</v>
      </c>
      <c r="CJ196" s="109"/>
      <c r="CK196" s="109"/>
      <c r="CL196" s="109" t="s">
        <v>165</v>
      </c>
      <c r="CM196" s="109"/>
      <c r="CN196" s="109"/>
      <c r="CO196" s="109" t="s">
        <v>157</v>
      </c>
      <c r="CP196" s="109"/>
      <c r="CQ196" s="109"/>
      <c r="CR196" s="109" t="s">
        <v>166</v>
      </c>
      <c r="CS196" s="109"/>
      <c r="CT196" s="109"/>
      <c r="CU196" s="109" t="s">
        <v>167</v>
      </c>
      <c r="CV196" s="109"/>
      <c r="CW196" s="109"/>
      <c r="CX196" s="111"/>
      <c r="CY196" s="111"/>
      <c r="CZ196" s="111"/>
      <c r="DA196" s="111"/>
      <c r="DB196" s="111"/>
      <c r="DC196" s="111"/>
      <c r="DD196" s="111"/>
      <c r="DE196" s="111"/>
      <c r="DF196" s="111"/>
    </row>
    <row r="197" spans="2:110">
      <c r="B197" s="7"/>
      <c r="C197" s="7"/>
      <c r="D197" s="7"/>
      <c r="E197" s="7"/>
      <c r="F197" s="7"/>
      <c r="G197" s="7"/>
      <c r="H197" s="7"/>
      <c r="I197" s="7"/>
      <c r="J197" s="7"/>
      <c r="K197" s="7"/>
      <c r="L197" s="7"/>
      <c r="M197" s="7"/>
      <c r="N197" s="7"/>
      <c r="O197" s="7"/>
      <c r="P197" s="7"/>
      <c r="Q197" s="7"/>
      <c r="R197" s="64"/>
      <c r="S197" s="64"/>
      <c r="T197" s="64"/>
      <c r="U197" s="64"/>
      <c r="V197" s="64"/>
      <c r="W197" s="64"/>
      <c r="X197" s="64"/>
      <c r="Y197" s="64"/>
      <c r="Z197" s="64"/>
      <c r="AA197" s="64"/>
      <c r="AB197" s="64"/>
      <c r="AC197" s="64"/>
      <c r="AD197"/>
      <c r="AE197" s="134"/>
      <c r="AF197" s="134"/>
      <c r="AG197" s="131">
        <v>100</v>
      </c>
      <c r="AH197" s="131">
        <v>100</v>
      </c>
      <c r="AI197" s="131">
        <v>0</v>
      </c>
      <c r="AJ197" s="131">
        <v>60</v>
      </c>
      <c r="AK197" s="130">
        <f t="shared" ca="1" si="373"/>
        <v>0</v>
      </c>
      <c r="AL197" s="130">
        <f t="shared" ref="AL197:AL228" ca="1" si="376">AW14</f>
        <v>0</v>
      </c>
      <c r="AM197" s="130">
        <f t="shared" ref="AM197:AM228" ca="1" si="377">AX14</f>
        <v>0</v>
      </c>
      <c r="AN197" s="130">
        <f t="shared" ca="1" si="375"/>
        <v>0</v>
      </c>
      <c r="AO197" s="109" t="str">
        <f t="shared" ref="AO197:AO228" si="378">"C"&amp;ROUND(AG197,0)&amp;"M"&amp;ROUND(AH197,0)&amp;"Y"&amp;ROUND(AI197,0)&amp;"K"&amp;ROUND(AJ197,0)</f>
        <v>C100M100Y0K60</v>
      </c>
      <c r="AQ197" s="109">
        <v>35</v>
      </c>
      <c r="AR197" s="109">
        <v>3.54</v>
      </c>
      <c r="AS197" s="109">
        <v>-7.92</v>
      </c>
      <c r="AT197" s="109">
        <v>28.48</v>
      </c>
      <c r="AU197" s="109">
        <v>8.99</v>
      </c>
      <c r="AV197" s="109">
        <v>-15.07</v>
      </c>
      <c r="AW197" s="109">
        <v>32.35</v>
      </c>
      <c r="AX197" s="109">
        <v>5.3</v>
      </c>
      <c r="AY197" s="109">
        <v>-10.64</v>
      </c>
      <c r="AZ197" s="109">
        <v>19.79</v>
      </c>
      <c r="BA197" s="109">
        <v>7.47</v>
      </c>
      <c r="BB197" s="109">
        <v>-20.27</v>
      </c>
      <c r="BC197" s="109">
        <v>17.670000000000002</v>
      </c>
      <c r="BD197" s="109">
        <v>11.95</v>
      </c>
      <c r="BE197" s="109">
        <v>-24.1</v>
      </c>
      <c r="BF197" s="109">
        <v>17.309999999999999</v>
      </c>
      <c r="BG197" s="109">
        <v>11.56</v>
      </c>
      <c r="BH197" s="109">
        <v>-21.85</v>
      </c>
      <c r="BI197" s="109">
        <v>17.190000000000001</v>
      </c>
      <c r="BJ197" s="109">
        <v>10.82</v>
      </c>
      <c r="BK197" s="109">
        <v>-23.85</v>
      </c>
      <c r="BL197" s="109">
        <v>11.69</v>
      </c>
      <c r="BM197" s="109">
        <v>14.13</v>
      </c>
      <c r="BN197" s="109">
        <v>-26.95</v>
      </c>
      <c r="BP197" s="131">
        <v>100</v>
      </c>
      <c r="BQ197" s="131">
        <v>0</v>
      </c>
      <c r="BR197" s="131">
        <v>0</v>
      </c>
      <c r="BS197" s="131">
        <v>0</v>
      </c>
      <c r="BT197" s="130">
        <f>EN14</f>
        <v>0</v>
      </c>
      <c r="BU197" s="130">
        <f>CD14</f>
        <v>1</v>
      </c>
      <c r="BV197" s="130">
        <f ca="1">CN14</f>
        <v>0</v>
      </c>
      <c r="BW197" s="130">
        <f ca="1">BZ14</f>
        <v>1.9815296507201263</v>
      </c>
      <c r="BX197" s="109" t="str">
        <f t="shared" ref="BX197:BX228" si="379">"C"&amp;ROUND(BP197,0)&amp;"M"&amp;ROUND(BQ197,0)&amp;"Y"&amp;ROUND(BR197,0)&amp;"K"&amp;ROUND(BS197,0)</f>
        <v>C100M0Y0K0</v>
      </c>
      <c r="BZ197" s="109">
        <v>59</v>
      </c>
      <c r="CA197" s="109">
        <v>-24</v>
      </c>
      <c r="CB197" s="109">
        <v>-26</v>
      </c>
      <c r="CC197" s="109">
        <v>57</v>
      </c>
      <c r="CD197" s="109">
        <v>-28</v>
      </c>
      <c r="CE197" s="109">
        <v>-34</v>
      </c>
      <c r="CF197" s="109">
        <v>60</v>
      </c>
      <c r="CG197" s="109">
        <v>-26</v>
      </c>
      <c r="CH197" s="109">
        <v>-44</v>
      </c>
      <c r="CI197" s="109">
        <v>55</v>
      </c>
      <c r="CJ197" s="109">
        <v>-36</v>
      </c>
      <c r="CK197" s="109">
        <v>-38</v>
      </c>
      <c r="CL197" s="109">
        <v>57</v>
      </c>
      <c r="CM197" s="109">
        <v>-37</v>
      </c>
      <c r="CN197" s="109">
        <v>-44</v>
      </c>
      <c r="CO197" s="109">
        <v>55.69</v>
      </c>
      <c r="CP197" s="109">
        <v>-36.24</v>
      </c>
      <c r="CQ197" s="109">
        <v>-39.49</v>
      </c>
      <c r="CR197" s="109">
        <v>56</v>
      </c>
      <c r="CS197" s="109">
        <v>-37</v>
      </c>
      <c r="CT197" s="109">
        <v>-50</v>
      </c>
      <c r="CU197" s="109">
        <v>54</v>
      </c>
      <c r="CV197" s="109">
        <v>-42</v>
      </c>
      <c r="CW197" s="109">
        <v>-54</v>
      </c>
      <c r="CX197" s="111"/>
      <c r="CY197" s="111"/>
      <c r="CZ197" s="111"/>
      <c r="DA197" s="111"/>
      <c r="DB197" s="111"/>
      <c r="DC197" s="111"/>
      <c r="DD197" s="111"/>
      <c r="DE197" s="111"/>
      <c r="DF197" s="111"/>
    </row>
    <row r="198" spans="2:110">
      <c r="B198" s="7"/>
      <c r="C198" s="7"/>
      <c r="D198" s="7"/>
      <c r="E198" s="7"/>
      <c r="F198" s="7"/>
      <c r="G198" s="7"/>
      <c r="H198" s="7"/>
      <c r="I198" s="7"/>
      <c r="J198" s="7"/>
      <c r="K198" s="7"/>
      <c r="L198" s="7"/>
      <c r="M198" s="7"/>
      <c r="N198" s="7"/>
      <c r="O198" s="7"/>
      <c r="P198" s="7"/>
      <c r="Q198" s="7"/>
      <c r="R198" s="64"/>
      <c r="S198" s="64"/>
      <c r="T198" s="64"/>
      <c r="U198" s="64"/>
      <c r="V198" s="64"/>
      <c r="W198" s="64"/>
      <c r="X198" s="64"/>
      <c r="Y198" s="64"/>
      <c r="Z198" s="64"/>
      <c r="AA198" s="64"/>
      <c r="AB198" s="64"/>
      <c r="AC198" s="64"/>
      <c r="AD198"/>
      <c r="AE198" s="134"/>
      <c r="AF198" s="134"/>
      <c r="AG198" s="131">
        <v>100</v>
      </c>
      <c r="AH198" s="131">
        <v>100</v>
      </c>
      <c r="AI198" s="131">
        <v>0</v>
      </c>
      <c r="AJ198" s="131">
        <v>0</v>
      </c>
      <c r="AK198" s="130">
        <f t="shared" ca="1" si="373"/>
        <v>0</v>
      </c>
      <c r="AL198" s="130">
        <f t="shared" ca="1" si="376"/>
        <v>0</v>
      </c>
      <c r="AM198" s="130">
        <f t="shared" ca="1" si="377"/>
        <v>0</v>
      </c>
      <c r="AN198" s="130">
        <f t="shared" ca="1" si="375"/>
        <v>0</v>
      </c>
      <c r="AO198" s="109" t="str">
        <f t="shared" si="378"/>
        <v>C100M100Y0K0</v>
      </c>
      <c r="AQ198" s="109">
        <v>42</v>
      </c>
      <c r="AR198" s="109">
        <v>7</v>
      </c>
      <c r="AS198" s="109">
        <v>-22</v>
      </c>
      <c r="AT198" s="109">
        <v>35</v>
      </c>
      <c r="AU198" s="109">
        <v>9</v>
      </c>
      <c r="AV198" s="109">
        <v>-32</v>
      </c>
      <c r="AW198" s="109">
        <v>38</v>
      </c>
      <c r="AX198" s="109">
        <v>10</v>
      </c>
      <c r="AY198" s="109">
        <v>-31</v>
      </c>
      <c r="AZ198" s="109">
        <v>28</v>
      </c>
      <c r="BA198" s="109">
        <v>14</v>
      </c>
      <c r="BB198" s="109">
        <v>-39</v>
      </c>
      <c r="BC198" s="109">
        <v>27</v>
      </c>
      <c r="BD198" s="109">
        <v>17</v>
      </c>
      <c r="BE198" s="109">
        <v>-44</v>
      </c>
      <c r="BF198" s="109">
        <v>26.36</v>
      </c>
      <c r="BG198" s="109">
        <v>16.57</v>
      </c>
      <c r="BH198" s="109">
        <v>-40.54</v>
      </c>
      <c r="BI198" s="109">
        <v>25</v>
      </c>
      <c r="BJ198" s="109">
        <v>20</v>
      </c>
      <c r="BK198" s="109">
        <v>-46</v>
      </c>
      <c r="BL198" s="109">
        <v>20</v>
      </c>
      <c r="BM198" s="109">
        <v>26</v>
      </c>
      <c r="BN198" s="109">
        <v>-53</v>
      </c>
      <c r="BP198" s="131">
        <v>100</v>
      </c>
      <c r="BQ198" s="131">
        <v>100</v>
      </c>
      <c r="BR198" s="131">
        <v>0</v>
      </c>
      <c r="BS198" s="131">
        <v>80</v>
      </c>
      <c r="BT198" s="130">
        <f t="shared" ref="BT198:BT261" si="380">EN15</f>
        <v>0</v>
      </c>
      <c r="BU198" s="130">
        <f t="shared" ref="BU198:BU261" si="381">CD15</f>
        <v>1</v>
      </c>
      <c r="BV198" s="130">
        <f t="shared" ref="BV198:BV261" ca="1" si="382">CN15</f>
        <v>0</v>
      </c>
      <c r="BW198" s="130">
        <f t="shared" ref="BW198:BW261" ca="1" si="383">BZ15</f>
        <v>0.21865374413738176</v>
      </c>
      <c r="BX198" s="109" t="str">
        <f t="shared" si="379"/>
        <v>C100M100Y0K80</v>
      </c>
      <c r="BZ198" s="109">
        <v>33.22</v>
      </c>
      <c r="CA198" s="109">
        <v>2.79</v>
      </c>
      <c r="CB198" s="109">
        <v>-5.95</v>
      </c>
      <c r="CC198" s="109">
        <v>24.71</v>
      </c>
      <c r="CD198" s="109">
        <v>6.96</v>
      </c>
      <c r="CE198" s="109">
        <v>-8.49</v>
      </c>
      <c r="CF198" s="109">
        <v>29.45</v>
      </c>
      <c r="CG198" s="109">
        <v>4.0199999999999996</v>
      </c>
      <c r="CH198" s="109">
        <v>-4.83</v>
      </c>
      <c r="CI198" s="109">
        <v>16.48</v>
      </c>
      <c r="CJ198" s="109">
        <v>5.9</v>
      </c>
      <c r="CK198" s="109">
        <v>-11.74</v>
      </c>
      <c r="CL198" s="109">
        <v>12.94</v>
      </c>
      <c r="CM198" s="109">
        <v>9.1</v>
      </c>
      <c r="CN198" s="109">
        <v>-15.78</v>
      </c>
      <c r="CO198" s="109">
        <v>12.76</v>
      </c>
      <c r="CP198" s="109">
        <v>8.73</v>
      </c>
      <c r="CQ198" s="109">
        <v>-14.13</v>
      </c>
      <c r="CR198" s="109">
        <v>12.86</v>
      </c>
      <c r="CS198" s="109">
        <v>8.39</v>
      </c>
      <c r="CT198" s="109">
        <v>-14.5</v>
      </c>
      <c r="CU198" s="109">
        <v>8</v>
      </c>
      <c r="CV198" s="109">
        <v>10.16</v>
      </c>
      <c r="CW198" s="109">
        <v>-17.07</v>
      </c>
      <c r="CX198" s="111"/>
      <c r="CY198" s="111"/>
      <c r="CZ198" s="111"/>
      <c r="DA198" s="111"/>
      <c r="DB198" s="111"/>
      <c r="DC198" s="111"/>
      <c r="DD198" s="111"/>
      <c r="DE198" s="111"/>
      <c r="DF198" s="111"/>
    </row>
    <row r="199" spans="2:110">
      <c r="B199" s="7"/>
      <c r="C199" s="7"/>
      <c r="D199" s="7"/>
      <c r="E199" s="7"/>
      <c r="F199" s="7"/>
      <c r="G199" s="7"/>
      <c r="H199" s="7"/>
      <c r="I199" s="7"/>
      <c r="J199" s="7"/>
      <c r="K199" s="7"/>
      <c r="L199" s="7"/>
      <c r="M199" s="7"/>
      <c r="N199" s="7"/>
      <c r="O199" s="7"/>
      <c r="P199" s="7"/>
      <c r="Q199" s="7"/>
      <c r="R199" s="64"/>
      <c r="S199" s="64"/>
      <c r="T199" s="64"/>
      <c r="U199" s="64"/>
      <c r="V199" s="64"/>
      <c r="W199" s="64"/>
      <c r="X199" s="64"/>
      <c r="Y199" s="64"/>
      <c r="Z199" s="64"/>
      <c r="AA199" s="64"/>
      <c r="AB199" s="64"/>
      <c r="AC199" s="64"/>
      <c r="AD199"/>
      <c r="AE199" s="134"/>
      <c r="AF199" s="134"/>
      <c r="AG199" s="131">
        <v>70</v>
      </c>
      <c r="AH199" s="131">
        <v>70</v>
      </c>
      <c r="AI199" s="131">
        <v>0</v>
      </c>
      <c r="AJ199" s="131">
        <v>0</v>
      </c>
      <c r="AK199" s="130">
        <f t="shared" ca="1" si="373"/>
        <v>0</v>
      </c>
      <c r="AL199" s="130">
        <f t="shared" ca="1" si="376"/>
        <v>0</v>
      </c>
      <c r="AM199" s="130">
        <f t="shared" ca="1" si="377"/>
        <v>0</v>
      </c>
      <c r="AN199" s="130">
        <f t="shared" ca="1" si="375"/>
        <v>0</v>
      </c>
      <c r="AO199" s="109" t="str">
        <f t="shared" si="378"/>
        <v>C70M70Y0K0</v>
      </c>
      <c r="AQ199" s="109">
        <v>47.66</v>
      </c>
      <c r="AR199" s="109">
        <v>8.5</v>
      </c>
      <c r="AS199" s="109">
        <v>-18.72</v>
      </c>
      <c r="AT199" s="109">
        <v>45.47</v>
      </c>
      <c r="AU199" s="109">
        <v>12.6</v>
      </c>
      <c r="AV199" s="109">
        <v>-26.85</v>
      </c>
      <c r="AW199" s="109">
        <v>48.38</v>
      </c>
      <c r="AX199" s="109">
        <v>11.46</v>
      </c>
      <c r="AY199" s="109">
        <v>-27.33</v>
      </c>
      <c r="AZ199" s="109">
        <v>40.520000000000003</v>
      </c>
      <c r="BA199" s="109">
        <v>13.87</v>
      </c>
      <c r="BB199" s="109">
        <v>-31.34</v>
      </c>
      <c r="BC199" s="109">
        <v>41.94</v>
      </c>
      <c r="BD199" s="109">
        <v>15.47</v>
      </c>
      <c r="BE199" s="109">
        <v>-33.74</v>
      </c>
      <c r="BF199" s="109">
        <v>40.94</v>
      </c>
      <c r="BG199" s="109">
        <v>15.14</v>
      </c>
      <c r="BH199" s="109">
        <v>-30.22</v>
      </c>
      <c r="BI199" s="109">
        <v>41.46</v>
      </c>
      <c r="BJ199" s="109">
        <v>16.82</v>
      </c>
      <c r="BK199" s="109">
        <v>-35.880000000000003</v>
      </c>
      <c r="BL199" s="109">
        <v>39.17</v>
      </c>
      <c r="BM199" s="109">
        <v>22.16</v>
      </c>
      <c r="BN199" s="109">
        <v>-40.200000000000003</v>
      </c>
      <c r="BP199" s="131">
        <v>100</v>
      </c>
      <c r="BQ199" s="131">
        <v>70</v>
      </c>
      <c r="BR199" s="131">
        <v>0</v>
      </c>
      <c r="BS199" s="131">
        <v>40</v>
      </c>
      <c r="BT199" s="130">
        <f t="shared" si="380"/>
        <v>0</v>
      </c>
      <c r="BU199" s="130">
        <f t="shared" si="381"/>
        <v>1</v>
      </c>
      <c r="BV199" s="130">
        <f t="shared" ca="1" si="382"/>
        <v>0</v>
      </c>
      <c r="BW199" s="130">
        <f t="shared" ca="1" si="383"/>
        <v>1.094588243782924</v>
      </c>
      <c r="BX199" s="109" t="str">
        <f t="shared" si="379"/>
        <v>C100M70Y0K40</v>
      </c>
      <c r="BZ199" s="109">
        <v>38.619999999999997</v>
      </c>
      <c r="CA199" s="109">
        <v>1.06</v>
      </c>
      <c r="CB199" s="109">
        <v>-12.32</v>
      </c>
      <c r="CC199" s="109">
        <v>33.9</v>
      </c>
      <c r="CD199" s="109">
        <v>3.81</v>
      </c>
      <c r="CE199" s="109">
        <v>-21.64</v>
      </c>
      <c r="CF199" s="109">
        <v>37.31</v>
      </c>
      <c r="CG199" s="109">
        <v>1.68</v>
      </c>
      <c r="CH199" s="109">
        <v>-19.510000000000002</v>
      </c>
      <c r="CI199" s="109">
        <v>26.56</v>
      </c>
      <c r="CJ199" s="109">
        <v>1.2</v>
      </c>
      <c r="CK199" s="109">
        <v>-27.43</v>
      </c>
      <c r="CL199" s="109">
        <v>26.74</v>
      </c>
      <c r="CM199" s="109">
        <v>1.7</v>
      </c>
      <c r="CN199" s="109">
        <v>-31.11</v>
      </c>
      <c r="CO199" s="109">
        <v>26.1</v>
      </c>
      <c r="CP199" s="109">
        <v>1.66</v>
      </c>
      <c r="CQ199" s="109">
        <v>-28.24</v>
      </c>
      <c r="CR199" s="109">
        <v>25.47</v>
      </c>
      <c r="CS199" s="109">
        <v>1.82</v>
      </c>
      <c r="CT199" s="109">
        <v>-32.619999999999997</v>
      </c>
      <c r="CU199" s="109">
        <v>20.75</v>
      </c>
      <c r="CV199" s="109">
        <v>3.69</v>
      </c>
      <c r="CW199" s="109">
        <v>-36.299999999999997</v>
      </c>
      <c r="CX199" s="111"/>
      <c r="CY199" s="111"/>
      <c r="CZ199" s="111"/>
      <c r="DA199" s="111"/>
      <c r="DB199" s="111"/>
      <c r="DC199" s="111"/>
      <c r="DD199" s="111"/>
      <c r="DE199" s="111"/>
      <c r="DF199" s="111"/>
    </row>
    <row r="200" spans="2:110">
      <c r="B200" s="7"/>
      <c r="C200" s="7"/>
      <c r="D200" s="7"/>
      <c r="E200" s="7"/>
      <c r="F200" s="7"/>
      <c r="G200" s="7"/>
      <c r="H200" s="7"/>
      <c r="I200" s="7"/>
      <c r="J200" s="7"/>
      <c r="K200" s="7"/>
      <c r="L200" s="7"/>
      <c r="M200" s="7"/>
      <c r="N200" s="7"/>
      <c r="O200" s="7"/>
      <c r="P200" s="7"/>
      <c r="Q200" s="7"/>
      <c r="R200" s="64"/>
      <c r="S200" s="64"/>
      <c r="T200" s="64"/>
      <c r="U200" s="64"/>
      <c r="V200" s="64"/>
      <c r="W200" s="64"/>
      <c r="X200" s="64"/>
      <c r="Y200" s="64"/>
      <c r="Z200" s="64"/>
      <c r="AA200" s="64"/>
      <c r="AB200" s="64"/>
      <c r="AC200" s="64"/>
      <c r="AD200"/>
      <c r="AE200" s="134"/>
      <c r="AF200" s="134"/>
      <c r="AG200" s="131">
        <v>30</v>
      </c>
      <c r="AH200" s="131">
        <v>30</v>
      </c>
      <c r="AI200" s="131">
        <v>0</v>
      </c>
      <c r="AJ200" s="131">
        <v>0</v>
      </c>
      <c r="AK200" s="130">
        <f t="shared" ca="1" si="373"/>
        <v>0</v>
      </c>
      <c r="AL200" s="130">
        <f t="shared" ca="1" si="376"/>
        <v>0</v>
      </c>
      <c r="AM200" s="130">
        <f t="shared" ca="1" si="377"/>
        <v>0</v>
      </c>
      <c r="AN200" s="130">
        <f t="shared" ca="1" si="375"/>
        <v>0</v>
      </c>
      <c r="AO200" s="109" t="str">
        <f t="shared" si="378"/>
        <v>C30M30Y0K0</v>
      </c>
      <c r="AQ200" s="109">
        <v>63.05</v>
      </c>
      <c r="AR200" s="109">
        <v>7.76</v>
      </c>
      <c r="AS200" s="109">
        <v>-10.32</v>
      </c>
      <c r="AT200" s="109">
        <v>65.319999999999993</v>
      </c>
      <c r="AU200" s="109">
        <v>7.5</v>
      </c>
      <c r="AV200" s="109">
        <v>-13.31</v>
      </c>
      <c r="AW200" s="109">
        <v>70.819999999999993</v>
      </c>
      <c r="AX200" s="109">
        <v>8.77</v>
      </c>
      <c r="AY200" s="109">
        <v>-17.52</v>
      </c>
      <c r="AZ200" s="109">
        <v>65.040000000000006</v>
      </c>
      <c r="BA200" s="109">
        <v>7.85</v>
      </c>
      <c r="BB200" s="109">
        <v>-15.05</v>
      </c>
      <c r="BC200" s="109">
        <v>68.260000000000005</v>
      </c>
      <c r="BD200" s="109">
        <v>7.93</v>
      </c>
      <c r="BE200" s="109">
        <v>-16.2</v>
      </c>
      <c r="BF200" s="109">
        <v>66.72</v>
      </c>
      <c r="BG200" s="109">
        <v>7.77</v>
      </c>
      <c r="BH200" s="109">
        <v>-12.43</v>
      </c>
      <c r="BI200" s="109">
        <v>70.14</v>
      </c>
      <c r="BJ200" s="109">
        <v>9.1300000000000008</v>
      </c>
      <c r="BK200" s="109">
        <v>-19.7</v>
      </c>
      <c r="BL200" s="109">
        <v>71.14</v>
      </c>
      <c r="BM200" s="109">
        <v>10.87</v>
      </c>
      <c r="BN200" s="109">
        <v>-21.98</v>
      </c>
      <c r="BP200" s="131">
        <v>75</v>
      </c>
      <c r="BQ200" s="131">
        <v>0</v>
      </c>
      <c r="BR200" s="131">
        <v>0</v>
      </c>
      <c r="BS200" s="131">
        <v>0</v>
      </c>
      <c r="BT200" s="130">
        <f t="shared" si="380"/>
        <v>0</v>
      </c>
      <c r="BU200" s="130">
        <f t="shared" si="381"/>
        <v>1</v>
      </c>
      <c r="BV200" s="130">
        <f t="shared" ca="1" si="382"/>
        <v>0</v>
      </c>
      <c r="BW200" s="130">
        <f t="shared" ca="1" si="383"/>
        <v>1.9305679128543687</v>
      </c>
      <c r="BX200" s="109" t="str">
        <f t="shared" si="379"/>
        <v>C75M0Y0K0</v>
      </c>
      <c r="BZ200" s="109">
        <v>62.25</v>
      </c>
      <c r="CA200" s="109">
        <v>-21.18</v>
      </c>
      <c r="CB200" s="109">
        <v>-22.23</v>
      </c>
      <c r="CC200" s="109">
        <v>62.39</v>
      </c>
      <c r="CD200" s="109">
        <v>-23.23</v>
      </c>
      <c r="CE200" s="109">
        <v>-27.56</v>
      </c>
      <c r="CF200" s="109">
        <v>66.78</v>
      </c>
      <c r="CG200" s="109">
        <v>-21.96</v>
      </c>
      <c r="CH200" s="109">
        <v>-36.31</v>
      </c>
      <c r="CI200" s="109">
        <v>62.03</v>
      </c>
      <c r="CJ200" s="109">
        <v>-28.81</v>
      </c>
      <c r="CK200" s="109">
        <v>-30.41</v>
      </c>
      <c r="CL200" s="109">
        <v>63.77</v>
      </c>
      <c r="CM200" s="109">
        <v>-28.04</v>
      </c>
      <c r="CN200" s="109">
        <v>-35.049999999999997</v>
      </c>
      <c r="CO200" s="109">
        <v>62.32</v>
      </c>
      <c r="CP200" s="109">
        <v>-27.48</v>
      </c>
      <c r="CQ200" s="109">
        <v>-30.66</v>
      </c>
      <c r="CR200" s="109">
        <v>64.69</v>
      </c>
      <c r="CS200" s="109">
        <v>-27.39</v>
      </c>
      <c r="CT200" s="109">
        <v>-40.020000000000003</v>
      </c>
      <c r="CU200" s="109">
        <v>65.260000000000005</v>
      </c>
      <c r="CV200" s="109">
        <v>-30.67</v>
      </c>
      <c r="CW200" s="109">
        <v>-42.24</v>
      </c>
      <c r="CX200" s="111"/>
      <c r="CY200" s="111"/>
      <c r="CZ200" s="111"/>
      <c r="DA200" s="111"/>
      <c r="DB200" s="111"/>
      <c r="DC200" s="111"/>
      <c r="DD200" s="111"/>
      <c r="DE200" s="111"/>
      <c r="DF200" s="111"/>
    </row>
    <row r="201" spans="2:110">
      <c r="B201" s="7"/>
      <c r="C201" s="7"/>
      <c r="D201" s="7"/>
      <c r="E201" s="7"/>
      <c r="F201" s="7"/>
      <c r="G201" s="7"/>
      <c r="H201" s="7"/>
      <c r="I201" s="7"/>
      <c r="J201" s="7"/>
      <c r="K201" s="7"/>
      <c r="L201" s="7"/>
      <c r="M201" s="7"/>
      <c r="N201" s="7"/>
      <c r="O201" s="7"/>
      <c r="P201" s="7"/>
      <c r="Q201" s="7"/>
      <c r="R201" s="64"/>
      <c r="S201" s="64"/>
      <c r="T201" s="64"/>
      <c r="U201" s="64"/>
      <c r="V201" s="64"/>
      <c r="W201" s="64"/>
      <c r="X201" s="64"/>
      <c r="Y201" s="64"/>
      <c r="Z201" s="64"/>
      <c r="AA201" s="64"/>
      <c r="AB201" s="64"/>
      <c r="AC201" s="64"/>
      <c r="AD201"/>
      <c r="AE201" s="134"/>
      <c r="AF201" s="134"/>
      <c r="AG201" s="131">
        <v>0</v>
      </c>
      <c r="AH201" s="131">
        <v>100</v>
      </c>
      <c r="AI201" s="131">
        <v>100</v>
      </c>
      <c r="AJ201" s="131">
        <v>60</v>
      </c>
      <c r="AK201" s="130">
        <f t="shared" ca="1" si="373"/>
        <v>0</v>
      </c>
      <c r="AL201" s="130">
        <f t="shared" ca="1" si="376"/>
        <v>0</v>
      </c>
      <c r="AM201" s="130">
        <f t="shared" ca="1" si="377"/>
        <v>0</v>
      </c>
      <c r="AN201" s="130">
        <f t="shared" ca="1" si="375"/>
        <v>0</v>
      </c>
      <c r="AO201" s="109" t="str">
        <f t="shared" si="378"/>
        <v>C0M100Y100K60</v>
      </c>
      <c r="AQ201" s="109">
        <v>40.01</v>
      </c>
      <c r="AR201" s="109">
        <v>19.75</v>
      </c>
      <c r="AS201" s="109">
        <v>12.38</v>
      </c>
      <c r="AT201" s="109">
        <v>34.22</v>
      </c>
      <c r="AU201" s="109">
        <v>23.48</v>
      </c>
      <c r="AV201" s="109">
        <v>11.95</v>
      </c>
      <c r="AW201" s="109">
        <v>38.090000000000003</v>
      </c>
      <c r="AX201" s="109">
        <v>17.260000000000002</v>
      </c>
      <c r="AY201" s="109">
        <v>10.39</v>
      </c>
      <c r="AZ201" s="109">
        <v>28.23</v>
      </c>
      <c r="BA201" s="109">
        <v>29.38</v>
      </c>
      <c r="BB201" s="109">
        <v>18.03</v>
      </c>
      <c r="BC201" s="109">
        <v>28.49</v>
      </c>
      <c r="BD201" s="109">
        <v>35.64</v>
      </c>
      <c r="BE201" s="109">
        <v>24.13</v>
      </c>
      <c r="BF201" s="109">
        <v>27.81</v>
      </c>
      <c r="BG201" s="109">
        <v>34.78</v>
      </c>
      <c r="BH201" s="109">
        <v>24.01</v>
      </c>
      <c r="BI201" s="109">
        <v>27.49</v>
      </c>
      <c r="BJ201" s="109">
        <v>34.659999999999997</v>
      </c>
      <c r="BK201" s="109">
        <v>24.24</v>
      </c>
      <c r="BL201" s="109">
        <v>24.96</v>
      </c>
      <c r="BM201" s="109">
        <v>39.659999999999997</v>
      </c>
      <c r="BN201" s="109">
        <v>27.86</v>
      </c>
      <c r="BP201" s="131">
        <v>100</v>
      </c>
      <c r="BQ201" s="131">
        <v>100</v>
      </c>
      <c r="BR201" s="131">
        <v>0</v>
      </c>
      <c r="BS201" s="131">
        <v>0</v>
      </c>
      <c r="BT201" s="130">
        <f t="shared" si="380"/>
        <v>0</v>
      </c>
      <c r="BU201" s="130">
        <f t="shared" si="381"/>
        <v>1</v>
      </c>
      <c r="BV201" s="130">
        <f t="shared" ca="1" si="382"/>
        <v>0</v>
      </c>
      <c r="BW201" s="130">
        <f t="shared" ca="1" si="383"/>
        <v>1.8781893422570541</v>
      </c>
      <c r="BX201" s="109" t="str">
        <f t="shared" si="379"/>
        <v>C100M100Y0K0</v>
      </c>
      <c r="BZ201" s="109">
        <v>42</v>
      </c>
      <c r="CA201" s="109">
        <v>7</v>
      </c>
      <c r="CB201" s="109">
        <v>-22</v>
      </c>
      <c r="CC201" s="109">
        <v>35</v>
      </c>
      <c r="CD201" s="109">
        <v>9</v>
      </c>
      <c r="CE201" s="109">
        <v>-32</v>
      </c>
      <c r="CF201" s="109">
        <v>38</v>
      </c>
      <c r="CG201" s="109">
        <v>10</v>
      </c>
      <c r="CH201" s="109">
        <v>-31</v>
      </c>
      <c r="CI201" s="109">
        <v>28</v>
      </c>
      <c r="CJ201" s="109">
        <v>14</v>
      </c>
      <c r="CK201" s="109">
        <v>-39</v>
      </c>
      <c r="CL201" s="109">
        <v>27</v>
      </c>
      <c r="CM201" s="109">
        <v>17</v>
      </c>
      <c r="CN201" s="109">
        <v>-44</v>
      </c>
      <c r="CO201" s="109">
        <v>26.36</v>
      </c>
      <c r="CP201" s="109">
        <v>16.57</v>
      </c>
      <c r="CQ201" s="109">
        <v>-40.54</v>
      </c>
      <c r="CR201" s="109">
        <v>25</v>
      </c>
      <c r="CS201" s="109">
        <v>20</v>
      </c>
      <c r="CT201" s="109">
        <v>-46</v>
      </c>
      <c r="CU201" s="109">
        <v>20</v>
      </c>
      <c r="CV201" s="109">
        <v>26</v>
      </c>
      <c r="CW201" s="109">
        <v>-53</v>
      </c>
      <c r="CX201" s="111"/>
      <c r="CY201" s="111"/>
      <c r="CZ201" s="111"/>
      <c r="DA201" s="111"/>
      <c r="DB201" s="111"/>
      <c r="DC201" s="111"/>
      <c r="DD201" s="111"/>
      <c r="DE201" s="111"/>
      <c r="DF201" s="111"/>
    </row>
    <row r="202" spans="2:110">
      <c r="B202" s="7"/>
      <c r="C202" s="7"/>
      <c r="D202" s="7"/>
      <c r="E202" s="7"/>
      <c r="F202" s="7"/>
      <c r="G202" s="7"/>
      <c r="H202" s="7"/>
      <c r="I202" s="7"/>
      <c r="J202" s="7"/>
      <c r="K202" s="7"/>
      <c r="L202" s="7"/>
      <c r="M202" s="7"/>
      <c r="N202" s="7"/>
      <c r="O202" s="7"/>
      <c r="P202" s="7"/>
      <c r="Q202" s="7"/>
      <c r="R202" s="64"/>
      <c r="S202" s="64"/>
      <c r="T202" s="64"/>
      <c r="U202" s="64"/>
      <c r="V202" s="64"/>
      <c r="W202" s="64"/>
      <c r="X202" s="64"/>
      <c r="Y202" s="64"/>
      <c r="Z202" s="64"/>
      <c r="AA202" s="64"/>
      <c r="AB202" s="64"/>
      <c r="AC202" s="64"/>
      <c r="AD202"/>
      <c r="AE202" s="134"/>
      <c r="AF202" s="134"/>
      <c r="AG202" s="131">
        <v>0</v>
      </c>
      <c r="AH202" s="131">
        <v>100</v>
      </c>
      <c r="AI202" s="131">
        <v>100</v>
      </c>
      <c r="AJ202" s="131">
        <v>0</v>
      </c>
      <c r="AK202" s="130">
        <f t="shared" ca="1" si="373"/>
        <v>0</v>
      </c>
      <c r="AL202" s="130">
        <f t="shared" ca="1" si="376"/>
        <v>0</v>
      </c>
      <c r="AM202" s="130">
        <f t="shared" ca="1" si="377"/>
        <v>0</v>
      </c>
      <c r="AN202" s="130">
        <f t="shared" ca="1" si="375"/>
        <v>0</v>
      </c>
      <c r="AO202" s="109" t="str">
        <f t="shared" si="378"/>
        <v>C0M100Y100K0</v>
      </c>
      <c r="AQ202" s="109">
        <v>54</v>
      </c>
      <c r="AR202" s="109">
        <v>44</v>
      </c>
      <c r="AS202" s="109">
        <v>25</v>
      </c>
      <c r="AT202" s="109">
        <v>51</v>
      </c>
      <c r="AU202" s="109">
        <v>55</v>
      </c>
      <c r="AV202" s="109">
        <v>32</v>
      </c>
      <c r="AW202" s="109">
        <v>54</v>
      </c>
      <c r="AX202" s="109">
        <v>56</v>
      </c>
      <c r="AY202" s="109">
        <v>28</v>
      </c>
      <c r="AZ202" s="109">
        <v>46</v>
      </c>
      <c r="BA202" s="109">
        <v>62</v>
      </c>
      <c r="BB202" s="109">
        <v>39</v>
      </c>
      <c r="BC202" s="109">
        <v>48</v>
      </c>
      <c r="BD202" s="109">
        <v>65</v>
      </c>
      <c r="BE202" s="109">
        <v>45</v>
      </c>
      <c r="BF202" s="109">
        <v>46.87</v>
      </c>
      <c r="BG202" s="109">
        <v>63.67</v>
      </c>
      <c r="BH202" s="109">
        <v>45</v>
      </c>
      <c r="BI202" s="109">
        <v>47</v>
      </c>
      <c r="BJ202" s="109">
        <v>68</v>
      </c>
      <c r="BK202" s="109">
        <v>48</v>
      </c>
      <c r="BL202" s="109">
        <v>47</v>
      </c>
      <c r="BM202" s="109">
        <v>75</v>
      </c>
      <c r="BN202" s="109">
        <v>54</v>
      </c>
      <c r="BP202" s="131">
        <v>100</v>
      </c>
      <c r="BQ202" s="131">
        <v>100</v>
      </c>
      <c r="BR202" s="131">
        <v>0</v>
      </c>
      <c r="BS202" s="131">
        <v>40</v>
      </c>
      <c r="BT202" s="130">
        <f t="shared" si="380"/>
        <v>0</v>
      </c>
      <c r="BU202" s="130">
        <f t="shared" si="381"/>
        <v>1</v>
      </c>
      <c r="BV202" s="130">
        <f t="shared" ca="1" si="382"/>
        <v>0</v>
      </c>
      <c r="BW202" s="130">
        <f t="shared" ca="1" si="383"/>
        <v>1.2939847243225746</v>
      </c>
      <c r="BX202" s="109" t="str">
        <f t="shared" si="379"/>
        <v>C100M100Y0K40</v>
      </c>
      <c r="BZ202" s="109">
        <v>37.1</v>
      </c>
      <c r="CA202" s="109">
        <v>4.41</v>
      </c>
      <c r="CB202" s="109">
        <v>-11.41</v>
      </c>
      <c r="CC202" s="109">
        <v>31.24</v>
      </c>
      <c r="CD202" s="109">
        <v>9.84</v>
      </c>
      <c r="CE202" s="109">
        <v>-20.71</v>
      </c>
      <c r="CF202" s="109">
        <v>34.61</v>
      </c>
      <c r="CG202" s="109">
        <v>6.64</v>
      </c>
      <c r="CH202" s="109">
        <v>-16.82</v>
      </c>
      <c r="CI202" s="109">
        <v>22.61</v>
      </c>
      <c r="CJ202" s="109">
        <v>9.24</v>
      </c>
      <c r="CK202" s="109">
        <v>-27.34</v>
      </c>
      <c r="CL202" s="109">
        <v>21.13</v>
      </c>
      <c r="CM202" s="109">
        <v>13.81</v>
      </c>
      <c r="CN202" s="109">
        <v>-30.91</v>
      </c>
      <c r="CO202" s="109">
        <v>20.65</v>
      </c>
      <c r="CP202" s="109">
        <v>13.41</v>
      </c>
      <c r="CQ202" s="109">
        <v>-28.22</v>
      </c>
      <c r="CR202" s="109">
        <v>20.329999999999998</v>
      </c>
      <c r="CS202" s="109">
        <v>13.31</v>
      </c>
      <c r="CT202" s="109">
        <v>-31.27</v>
      </c>
      <c r="CU202" s="109">
        <v>14.27</v>
      </c>
      <c r="CV202" s="109">
        <v>17.84</v>
      </c>
      <c r="CW202" s="109">
        <v>-35.479999999999997</v>
      </c>
      <c r="CX202" s="111"/>
      <c r="CY202" s="111"/>
      <c r="CZ202" s="111"/>
      <c r="DA202" s="111"/>
      <c r="DB202" s="111"/>
      <c r="DC202" s="111"/>
      <c r="DD202" s="111"/>
      <c r="DE202" s="111"/>
      <c r="DF202" s="111"/>
    </row>
    <row r="203" spans="2:110">
      <c r="B203" s="7"/>
      <c r="C203" s="7"/>
      <c r="D203" s="7"/>
      <c r="E203" s="7"/>
      <c r="F203" s="7"/>
      <c r="G203" s="7"/>
      <c r="H203" s="7"/>
      <c r="I203" s="7"/>
      <c r="J203" s="7"/>
      <c r="K203" s="7"/>
      <c r="L203" s="7"/>
      <c r="M203" s="7"/>
      <c r="N203" s="7"/>
      <c r="O203" s="7"/>
      <c r="P203" s="7"/>
      <c r="Q203" s="7"/>
      <c r="R203" s="64"/>
      <c r="S203" s="64"/>
      <c r="T203" s="64"/>
      <c r="U203" s="64"/>
      <c r="V203" s="64"/>
      <c r="W203" s="64"/>
      <c r="X203" s="64"/>
      <c r="Y203" s="64"/>
      <c r="Z203" s="64"/>
      <c r="AA203" s="64"/>
      <c r="AB203" s="64"/>
      <c r="AC203" s="64"/>
      <c r="AD203"/>
      <c r="AE203" s="134"/>
      <c r="AF203" s="134"/>
      <c r="AG203" s="131">
        <v>0</v>
      </c>
      <c r="AH203" s="131">
        <v>70</v>
      </c>
      <c r="AI203" s="131">
        <v>70</v>
      </c>
      <c r="AJ203" s="131">
        <v>0</v>
      </c>
      <c r="AK203" s="130">
        <f t="shared" ca="1" si="373"/>
        <v>0</v>
      </c>
      <c r="AL203" s="130">
        <f t="shared" ca="1" si="376"/>
        <v>0</v>
      </c>
      <c r="AM203" s="130">
        <f t="shared" ca="1" si="377"/>
        <v>0</v>
      </c>
      <c r="AN203" s="130">
        <f t="shared" ca="1" si="375"/>
        <v>0</v>
      </c>
      <c r="AO203" s="109" t="str">
        <f t="shared" si="378"/>
        <v>C0M70Y70K0</v>
      </c>
      <c r="AQ203" s="109">
        <v>58.08</v>
      </c>
      <c r="AR203" s="109">
        <v>36.42</v>
      </c>
      <c r="AS203" s="109">
        <v>24.45</v>
      </c>
      <c r="AT203" s="109">
        <v>58.14</v>
      </c>
      <c r="AU203" s="109">
        <v>41.58</v>
      </c>
      <c r="AV203" s="109">
        <v>28.23</v>
      </c>
      <c r="AW203" s="109">
        <v>61.59</v>
      </c>
      <c r="AX203" s="109">
        <v>42.45</v>
      </c>
      <c r="AY203" s="109">
        <v>24.65</v>
      </c>
      <c r="AZ203" s="109">
        <v>55.05</v>
      </c>
      <c r="BA203" s="109">
        <v>46.52</v>
      </c>
      <c r="BB203" s="109">
        <v>34.18</v>
      </c>
      <c r="BC203" s="109">
        <v>58.71</v>
      </c>
      <c r="BD203" s="109">
        <v>46.23</v>
      </c>
      <c r="BE203" s="109">
        <v>37.18</v>
      </c>
      <c r="BF203" s="109">
        <v>57.36</v>
      </c>
      <c r="BG203" s="109">
        <v>45.31</v>
      </c>
      <c r="BH203" s="109">
        <v>38.21</v>
      </c>
      <c r="BI203" s="109">
        <v>59.01</v>
      </c>
      <c r="BJ203" s="109">
        <v>47.84</v>
      </c>
      <c r="BK203" s="109">
        <v>37.979999999999997</v>
      </c>
      <c r="BL203" s="109">
        <v>59.28</v>
      </c>
      <c r="BM203" s="109">
        <v>52.95</v>
      </c>
      <c r="BN203" s="109">
        <v>40.340000000000003</v>
      </c>
      <c r="BP203" s="131">
        <v>50</v>
      </c>
      <c r="BQ203" s="131">
        <v>0</v>
      </c>
      <c r="BR203" s="131">
        <v>0</v>
      </c>
      <c r="BS203" s="131">
        <v>0</v>
      </c>
      <c r="BT203" s="130">
        <f t="shared" si="380"/>
        <v>0</v>
      </c>
      <c r="BU203" s="130">
        <f t="shared" si="381"/>
        <v>1</v>
      </c>
      <c r="BV203" s="130">
        <f t="shared" ca="1" si="382"/>
        <v>0</v>
      </c>
      <c r="BW203" s="130">
        <f t="shared" ca="1" si="383"/>
        <v>1.5354561093333849</v>
      </c>
      <c r="BX203" s="109" t="str">
        <f t="shared" si="379"/>
        <v>C50M0Y0K0</v>
      </c>
      <c r="BZ203" s="109">
        <v>67.89</v>
      </c>
      <c r="CA203" s="109">
        <v>-16.09</v>
      </c>
      <c r="CB203" s="109">
        <v>-15.93</v>
      </c>
      <c r="CC203" s="109">
        <v>69.95</v>
      </c>
      <c r="CD203" s="109">
        <v>-16.27</v>
      </c>
      <c r="CE203" s="109">
        <v>-18.39</v>
      </c>
      <c r="CF203" s="109">
        <v>75.790000000000006</v>
      </c>
      <c r="CG203" s="109">
        <v>-15.53</v>
      </c>
      <c r="CH203" s="109">
        <v>-26.04</v>
      </c>
      <c r="CI203" s="109">
        <v>70.78</v>
      </c>
      <c r="CJ203" s="109">
        <v>-19.489999999999998</v>
      </c>
      <c r="CK203" s="109">
        <v>-20.28</v>
      </c>
      <c r="CL203" s="109">
        <v>73.040000000000006</v>
      </c>
      <c r="CM203" s="109">
        <v>-17.38</v>
      </c>
      <c r="CN203" s="109">
        <v>-23.37</v>
      </c>
      <c r="CO203" s="109">
        <v>71.41</v>
      </c>
      <c r="CP203" s="109">
        <v>-17.04</v>
      </c>
      <c r="CQ203" s="109">
        <v>-19.12</v>
      </c>
      <c r="CR203" s="109">
        <v>75.14</v>
      </c>
      <c r="CS203" s="109">
        <v>-16.63</v>
      </c>
      <c r="CT203" s="109">
        <v>-27.88</v>
      </c>
      <c r="CU203" s="109">
        <v>76.819999999999993</v>
      </c>
      <c r="CV203" s="109">
        <v>-18.8</v>
      </c>
      <c r="CW203" s="109">
        <v>-29.31</v>
      </c>
      <c r="CX203" s="111"/>
      <c r="CY203" s="111"/>
      <c r="CZ203" s="111"/>
      <c r="DA203" s="111"/>
      <c r="DB203" s="111"/>
      <c r="DC203" s="111"/>
      <c r="DD203" s="111"/>
      <c r="DE203" s="111"/>
      <c r="DF203" s="111"/>
    </row>
    <row r="204" spans="2:110">
      <c r="B204" s="7"/>
      <c r="C204" s="7"/>
      <c r="D204" s="7"/>
      <c r="E204" s="7"/>
      <c r="F204" s="7"/>
      <c r="G204" s="7"/>
      <c r="H204" s="7"/>
      <c r="I204" s="7"/>
      <c r="J204" s="7"/>
      <c r="K204" s="7"/>
      <c r="L204" s="7"/>
      <c r="M204" s="7"/>
      <c r="N204" s="7"/>
      <c r="O204" s="7"/>
      <c r="P204" s="7"/>
      <c r="Q204" s="7"/>
      <c r="R204" s="64"/>
      <c r="S204" s="64"/>
      <c r="T204" s="64"/>
      <c r="U204" s="64"/>
      <c r="V204" s="64"/>
      <c r="W204" s="64"/>
      <c r="X204" s="64"/>
      <c r="Y204" s="64"/>
      <c r="Z204" s="64"/>
      <c r="AA204" s="64"/>
      <c r="AB204" s="64"/>
      <c r="AC204" s="64"/>
      <c r="AD204"/>
      <c r="AE204" s="134"/>
      <c r="AF204" s="134"/>
      <c r="AG204" s="131">
        <v>0</v>
      </c>
      <c r="AH204" s="131">
        <v>30</v>
      </c>
      <c r="AI204" s="131">
        <v>30</v>
      </c>
      <c r="AJ204" s="131">
        <v>0</v>
      </c>
      <c r="AK204" s="130">
        <f t="shared" ca="1" si="373"/>
        <v>0</v>
      </c>
      <c r="AL204" s="130">
        <f t="shared" ca="1" si="376"/>
        <v>0</v>
      </c>
      <c r="AM204" s="130">
        <f t="shared" ca="1" si="377"/>
        <v>0</v>
      </c>
      <c r="AN204" s="130">
        <f t="shared" ca="1" si="375"/>
        <v>0</v>
      </c>
      <c r="AO204" s="109" t="str">
        <f t="shared" si="378"/>
        <v>C0M30Y30K0</v>
      </c>
      <c r="AQ204" s="109">
        <v>70.010000000000005</v>
      </c>
      <c r="AR204" s="109">
        <v>19.43</v>
      </c>
      <c r="AS204" s="109">
        <v>19.09</v>
      </c>
      <c r="AT204" s="109">
        <v>72.44</v>
      </c>
      <c r="AU204" s="109">
        <v>17.989999999999998</v>
      </c>
      <c r="AV204" s="109">
        <v>17.75</v>
      </c>
      <c r="AW204" s="109">
        <v>78.64</v>
      </c>
      <c r="AX204" s="109">
        <v>19.14</v>
      </c>
      <c r="AY204" s="109">
        <v>14.37</v>
      </c>
      <c r="AZ204" s="109">
        <v>72.55</v>
      </c>
      <c r="BA204" s="109">
        <v>19.78</v>
      </c>
      <c r="BB204" s="109">
        <v>19.34</v>
      </c>
      <c r="BC204" s="109">
        <v>76.760000000000005</v>
      </c>
      <c r="BD204" s="109">
        <v>17.78</v>
      </c>
      <c r="BE204" s="109">
        <v>18.43</v>
      </c>
      <c r="BF204" s="109">
        <v>75.06</v>
      </c>
      <c r="BG204" s="109">
        <v>17.43</v>
      </c>
      <c r="BH204" s="109">
        <v>21.07</v>
      </c>
      <c r="BI204" s="109">
        <v>78.72</v>
      </c>
      <c r="BJ204" s="109">
        <v>18.73</v>
      </c>
      <c r="BK204" s="109">
        <v>16.260000000000002</v>
      </c>
      <c r="BL204" s="109">
        <v>80.42</v>
      </c>
      <c r="BM204" s="109">
        <v>20.88</v>
      </c>
      <c r="BN204" s="109">
        <v>16.66</v>
      </c>
      <c r="BP204" s="131">
        <v>75</v>
      </c>
      <c r="BQ204" s="131">
        <v>75</v>
      </c>
      <c r="BR204" s="131">
        <v>0</v>
      </c>
      <c r="BS204" s="131">
        <v>0</v>
      </c>
      <c r="BT204" s="130">
        <f t="shared" si="380"/>
        <v>0</v>
      </c>
      <c r="BU204" s="130">
        <f t="shared" si="381"/>
        <v>1</v>
      </c>
      <c r="BV204" s="130">
        <f t="shared" ca="1" si="382"/>
        <v>0</v>
      </c>
      <c r="BW204" s="130">
        <f t="shared" ca="1" si="383"/>
        <v>1.8092211918431604</v>
      </c>
      <c r="BX204" s="109" t="str">
        <f t="shared" si="379"/>
        <v>C75M75Y0K0</v>
      </c>
      <c r="BZ204" s="109">
        <v>46.46</v>
      </c>
      <c r="CA204" s="109">
        <v>8.2100000000000009</v>
      </c>
      <c r="CB204" s="109">
        <v>-19.309999999999999</v>
      </c>
      <c r="CC204" s="109">
        <v>43.4</v>
      </c>
      <c r="CD204" s="109">
        <v>12.58</v>
      </c>
      <c r="CE204" s="109">
        <v>-28.04</v>
      </c>
      <c r="CF204" s="109">
        <v>46.13</v>
      </c>
      <c r="CG204" s="109">
        <v>11.31</v>
      </c>
      <c r="CH204" s="109">
        <v>-28.12</v>
      </c>
      <c r="CI204" s="109">
        <v>37.770000000000003</v>
      </c>
      <c r="CJ204" s="109">
        <v>14.14</v>
      </c>
      <c r="CK204" s="109">
        <v>-33.03</v>
      </c>
      <c r="CL204" s="109">
        <v>38.979999999999997</v>
      </c>
      <c r="CM204" s="109">
        <v>16.07</v>
      </c>
      <c r="CN204" s="109">
        <v>-35.69</v>
      </c>
      <c r="CO204" s="109">
        <v>38.049999999999997</v>
      </c>
      <c r="CP204" s="109">
        <v>15.7</v>
      </c>
      <c r="CQ204" s="109">
        <v>-32.19</v>
      </c>
      <c r="CR204" s="109">
        <v>38.159999999999997</v>
      </c>
      <c r="CS204" s="109">
        <v>17.579999999999998</v>
      </c>
      <c r="CT204" s="109">
        <v>-37.75</v>
      </c>
      <c r="CU204" s="109">
        <v>35.25</v>
      </c>
      <c r="CV204" s="109">
        <v>23.34</v>
      </c>
      <c r="CW204" s="109">
        <v>-42.48</v>
      </c>
      <c r="CX204" s="111"/>
      <c r="CY204" s="111"/>
      <c r="CZ204" s="111"/>
      <c r="DA204" s="111"/>
      <c r="DB204" s="111"/>
      <c r="DC204" s="111"/>
      <c r="DD204" s="111"/>
      <c r="DE204" s="111"/>
      <c r="DF204" s="111"/>
    </row>
    <row r="205" spans="2:110">
      <c r="B205" s="7"/>
      <c r="C205" s="7"/>
      <c r="D205" s="7"/>
      <c r="E205" s="7"/>
      <c r="F205" s="7"/>
      <c r="G205" s="7"/>
      <c r="H205" s="7"/>
      <c r="I205" s="7"/>
      <c r="J205" s="7"/>
      <c r="K205" s="7"/>
      <c r="L205" s="7"/>
      <c r="M205" s="7"/>
      <c r="N205" s="7"/>
      <c r="O205" s="7"/>
      <c r="P205" s="7"/>
      <c r="Q205" s="7"/>
      <c r="R205" s="64"/>
      <c r="S205" s="64"/>
      <c r="T205" s="64"/>
      <c r="U205" s="64"/>
      <c r="V205" s="64"/>
      <c r="W205" s="64"/>
      <c r="X205" s="64"/>
      <c r="Y205" s="64"/>
      <c r="Z205" s="64"/>
      <c r="AA205" s="64"/>
      <c r="AB205" s="64"/>
      <c r="AC205" s="64"/>
      <c r="AD205"/>
      <c r="AE205" s="134"/>
      <c r="AF205" s="134"/>
      <c r="AG205" s="131">
        <v>100</v>
      </c>
      <c r="AH205" s="131">
        <v>0</v>
      </c>
      <c r="AI205" s="131">
        <v>100</v>
      </c>
      <c r="AJ205" s="131">
        <v>60</v>
      </c>
      <c r="AK205" s="130">
        <f t="shared" ca="1" si="373"/>
        <v>0</v>
      </c>
      <c r="AL205" s="130">
        <f t="shared" ca="1" si="376"/>
        <v>0</v>
      </c>
      <c r="AM205" s="130">
        <f t="shared" ca="1" si="377"/>
        <v>0</v>
      </c>
      <c r="AN205" s="130">
        <f t="shared" ca="1" si="375"/>
        <v>0</v>
      </c>
      <c r="AO205" s="109" t="str">
        <f t="shared" si="378"/>
        <v>C100M0Y100K60</v>
      </c>
      <c r="AQ205" s="109">
        <v>40.5</v>
      </c>
      <c r="AR205" s="109">
        <v>-16.98</v>
      </c>
      <c r="AS205" s="109">
        <v>9.2100000000000009</v>
      </c>
      <c r="AT205" s="109">
        <v>35.380000000000003</v>
      </c>
      <c r="AU205" s="109">
        <v>-19.61</v>
      </c>
      <c r="AV205" s="109">
        <v>8.1</v>
      </c>
      <c r="AW205" s="109">
        <v>39.07</v>
      </c>
      <c r="AX205" s="109">
        <v>-18.350000000000001</v>
      </c>
      <c r="AY205" s="109">
        <v>7.68</v>
      </c>
      <c r="AZ205" s="109">
        <v>30.13</v>
      </c>
      <c r="BA205" s="109">
        <v>-26.79</v>
      </c>
      <c r="BB205" s="109">
        <v>11.98</v>
      </c>
      <c r="BC205" s="109">
        <v>32.479999999999997</v>
      </c>
      <c r="BD205" s="109">
        <v>-33.26</v>
      </c>
      <c r="BE205" s="109">
        <v>15.24</v>
      </c>
      <c r="BF205" s="109">
        <v>31.7</v>
      </c>
      <c r="BG205" s="109">
        <v>-32.409999999999997</v>
      </c>
      <c r="BH205" s="109">
        <v>16.02</v>
      </c>
      <c r="BI205" s="109">
        <v>30.93</v>
      </c>
      <c r="BJ205" s="109">
        <v>-36.82</v>
      </c>
      <c r="BK205" s="109">
        <v>14.62</v>
      </c>
      <c r="BL205" s="109">
        <v>28.75</v>
      </c>
      <c r="BM205" s="109">
        <v>-42.37</v>
      </c>
      <c r="BN205" s="109">
        <v>15.44</v>
      </c>
      <c r="BP205" s="131">
        <v>70</v>
      </c>
      <c r="BQ205" s="131">
        <v>100</v>
      </c>
      <c r="BR205" s="131">
        <v>0</v>
      </c>
      <c r="BS205" s="131">
        <v>40</v>
      </c>
      <c r="BT205" s="130">
        <f t="shared" si="380"/>
        <v>0</v>
      </c>
      <c r="BU205" s="130">
        <f t="shared" si="381"/>
        <v>1</v>
      </c>
      <c r="BV205" s="130">
        <f t="shared" ca="1" si="382"/>
        <v>0</v>
      </c>
      <c r="BW205" s="130">
        <f t="shared" ca="1" si="383"/>
        <v>1.4942731784165881</v>
      </c>
      <c r="BX205" s="109" t="str">
        <f t="shared" si="379"/>
        <v>C70M100Y0K40</v>
      </c>
      <c r="BZ205" s="109">
        <v>38.479999999999997</v>
      </c>
      <c r="CA205" s="109">
        <v>8.92</v>
      </c>
      <c r="CB205" s="109">
        <v>-9.66</v>
      </c>
      <c r="CC205" s="109">
        <v>33.07</v>
      </c>
      <c r="CD205" s="109">
        <v>16.54</v>
      </c>
      <c r="CE205" s="109">
        <v>-16.91</v>
      </c>
      <c r="CF205" s="109">
        <v>37.17</v>
      </c>
      <c r="CG205" s="109">
        <v>13.34</v>
      </c>
      <c r="CH205" s="109">
        <v>-13.31</v>
      </c>
      <c r="CI205" s="109">
        <v>25.32</v>
      </c>
      <c r="CJ205" s="109">
        <v>18.95</v>
      </c>
      <c r="CK205" s="109">
        <v>-21.75</v>
      </c>
      <c r="CL205" s="109">
        <v>24.38</v>
      </c>
      <c r="CM205" s="109">
        <v>25.1</v>
      </c>
      <c r="CN205" s="109">
        <v>-24.34</v>
      </c>
      <c r="CO205" s="109">
        <v>23.81</v>
      </c>
      <c r="CP205" s="109">
        <v>24.44</v>
      </c>
      <c r="CQ205" s="109">
        <v>-21.86</v>
      </c>
      <c r="CR205" s="109">
        <v>24.02</v>
      </c>
      <c r="CS205" s="109">
        <v>24.6</v>
      </c>
      <c r="CT205" s="109">
        <v>-24.3</v>
      </c>
      <c r="CU205" s="109">
        <v>19.64</v>
      </c>
      <c r="CV205" s="109">
        <v>29.8</v>
      </c>
      <c r="CW205" s="109">
        <v>-27.39</v>
      </c>
      <c r="CX205" s="111"/>
      <c r="CY205" s="111"/>
      <c r="CZ205" s="111"/>
      <c r="DA205" s="111"/>
      <c r="DB205" s="111"/>
      <c r="DC205" s="111"/>
      <c r="DD205" s="111"/>
      <c r="DE205" s="111"/>
      <c r="DF205" s="111"/>
    </row>
    <row r="206" spans="2:110">
      <c r="B206" s="7"/>
      <c r="C206" s="7"/>
      <c r="D206" s="7"/>
      <c r="E206" s="7"/>
      <c r="F206" s="7"/>
      <c r="G206" s="7"/>
      <c r="H206" s="7"/>
      <c r="I206" s="7"/>
      <c r="J206" s="7"/>
      <c r="K206" s="7"/>
      <c r="L206" s="7"/>
      <c r="M206" s="7"/>
      <c r="N206" s="7"/>
      <c r="O206" s="7"/>
      <c r="P206" s="7"/>
      <c r="Q206" s="7"/>
      <c r="R206" s="64"/>
      <c r="S206" s="64"/>
      <c r="T206" s="64"/>
      <c r="U206" s="64"/>
      <c r="V206" s="64"/>
      <c r="W206" s="64"/>
      <c r="X206" s="64"/>
      <c r="Y206" s="64"/>
      <c r="Z206" s="64"/>
      <c r="AA206" s="64"/>
      <c r="AB206" s="64"/>
      <c r="AC206" s="64"/>
      <c r="AD206"/>
      <c r="AE206" s="134"/>
      <c r="AF206" s="134"/>
      <c r="AG206" s="131">
        <v>100</v>
      </c>
      <c r="AH206" s="131">
        <v>0</v>
      </c>
      <c r="AI206" s="131">
        <v>100</v>
      </c>
      <c r="AJ206" s="131">
        <v>0</v>
      </c>
      <c r="AK206" s="130">
        <f t="shared" ca="1" si="373"/>
        <v>0</v>
      </c>
      <c r="AL206" s="130">
        <f t="shared" ca="1" si="376"/>
        <v>0</v>
      </c>
      <c r="AM206" s="130">
        <f t="shared" ca="1" si="377"/>
        <v>0</v>
      </c>
      <c r="AN206" s="130">
        <f t="shared" ca="1" si="375"/>
        <v>0</v>
      </c>
      <c r="AO206" s="109" t="str">
        <f t="shared" si="378"/>
        <v>C100M0Y100K0</v>
      </c>
      <c r="AQ206" s="109">
        <v>55</v>
      </c>
      <c r="AR206" s="109">
        <v>-35</v>
      </c>
      <c r="AS206" s="109">
        <v>17</v>
      </c>
      <c r="AT206" s="109">
        <v>51</v>
      </c>
      <c r="AU206" s="109">
        <v>-44</v>
      </c>
      <c r="AV206" s="109">
        <v>19</v>
      </c>
      <c r="AW206" s="109">
        <v>54</v>
      </c>
      <c r="AX206" s="109">
        <v>-43</v>
      </c>
      <c r="AY206" s="109">
        <v>15</v>
      </c>
      <c r="AZ206" s="109">
        <v>49</v>
      </c>
      <c r="BA206" s="109">
        <v>-54</v>
      </c>
      <c r="BB206" s="109">
        <v>24</v>
      </c>
      <c r="BC206" s="109">
        <v>51</v>
      </c>
      <c r="BD206" s="109">
        <v>-62</v>
      </c>
      <c r="BE206" s="109">
        <v>26</v>
      </c>
      <c r="BF206" s="109">
        <v>49.81</v>
      </c>
      <c r="BG206" s="109">
        <v>-60.65</v>
      </c>
      <c r="BH206" s="109">
        <v>27.2</v>
      </c>
      <c r="BI206" s="109">
        <v>50</v>
      </c>
      <c r="BJ206" s="109">
        <v>-66</v>
      </c>
      <c r="BK206" s="109">
        <v>26</v>
      </c>
      <c r="BL206" s="109">
        <v>50</v>
      </c>
      <c r="BM206" s="109">
        <v>-72</v>
      </c>
      <c r="BN206" s="109">
        <v>29</v>
      </c>
      <c r="BP206" s="131">
        <v>25</v>
      </c>
      <c r="BQ206" s="131">
        <v>0</v>
      </c>
      <c r="BR206" s="131">
        <v>0</v>
      </c>
      <c r="BS206" s="131">
        <v>0</v>
      </c>
      <c r="BT206" s="130">
        <f t="shared" si="380"/>
        <v>0</v>
      </c>
      <c r="BU206" s="130">
        <f t="shared" si="381"/>
        <v>1</v>
      </c>
      <c r="BV206" s="130">
        <f t="shared" ca="1" si="382"/>
        <v>0</v>
      </c>
      <c r="BW206" s="130">
        <f t="shared" ca="1" si="383"/>
        <v>0.34287959583825134</v>
      </c>
      <c r="BX206" s="109" t="str">
        <f t="shared" si="379"/>
        <v>C25M0Y0K0</v>
      </c>
      <c r="BZ206" s="109">
        <v>75.430000000000007</v>
      </c>
      <c r="CA206" s="109">
        <v>-8.69</v>
      </c>
      <c r="CB206" s="109">
        <v>-6.89</v>
      </c>
      <c r="CC206" s="109">
        <v>78.03</v>
      </c>
      <c r="CD206" s="109">
        <v>-8.67</v>
      </c>
      <c r="CE206" s="109">
        <v>-8.34</v>
      </c>
      <c r="CF206" s="109">
        <v>84.96</v>
      </c>
      <c r="CG206" s="109">
        <v>-7.95</v>
      </c>
      <c r="CH206" s="109">
        <v>-15.51</v>
      </c>
      <c r="CI206" s="109">
        <v>79.510000000000005</v>
      </c>
      <c r="CJ206" s="109">
        <v>-10.18</v>
      </c>
      <c r="CK206" s="109">
        <v>-9.3800000000000008</v>
      </c>
      <c r="CL206" s="109">
        <v>82.46</v>
      </c>
      <c r="CM206" s="109">
        <v>-8.2899999999999991</v>
      </c>
      <c r="CN206" s="109">
        <v>-11.7</v>
      </c>
      <c r="CO206" s="109">
        <v>80.64</v>
      </c>
      <c r="CP206" s="109">
        <v>-8.1300000000000008</v>
      </c>
      <c r="CQ206" s="109">
        <v>-7.58</v>
      </c>
      <c r="CR206" s="109">
        <v>85.11</v>
      </c>
      <c r="CS206" s="109">
        <v>-7.4</v>
      </c>
      <c r="CT206" s="109">
        <v>-16</v>
      </c>
      <c r="CU206" s="109">
        <v>87.12</v>
      </c>
      <c r="CV206" s="109">
        <v>-8.56</v>
      </c>
      <c r="CW206" s="109">
        <v>-16.78</v>
      </c>
      <c r="CX206" s="111"/>
      <c r="CY206" s="111"/>
      <c r="CZ206" s="111"/>
      <c r="DA206" s="111"/>
      <c r="DB206" s="111"/>
      <c r="DC206" s="111"/>
      <c r="DD206" s="111"/>
      <c r="DE206" s="111"/>
      <c r="DF206" s="111"/>
    </row>
    <row r="207" spans="2:110">
      <c r="B207" s="7"/>
      <c r="C207" s="7"/>
      <c r="D207" s="7"/>
      <c r="E207" s="7"/>
      <c r="F207" s="7"/>
      <c r="G207" s="7"/>
      <c r="H207" s="7"/>
      <c r="I207" s="7"/>
      <c r="J207" s="7"/>
      <c r="K207" s="7"/>
      <c r="L207" s="7"/>
      <c r="M207" s="7"/>
      <c r="N207" s="7"/>
      <c r="O207" s="7"/>
      <c r="P207" s="7"/>
      <c r="Q207" s="7"/>
      <c r="R207" s="64"/>
      <c r="S207" s="64"/>
      <c r="T207" s="64"/>
      <c r="U207" s="64"/>
      <c r="V207" s="64"/>
      <c r="W207" s="64"/>
      <c r="X207" s="64"/>
      <c r="Y207" s="64"/>
      <c r="Z207" s="64"/>
      <c r="AA207" s="64"/>
      <c r="AB207" s="64"/>
      <c r="AC207" s="64"/>
      <c r="AD207"/>
      <c r="AE207" s="134"/>
      <c r="AF207" s="134"/>
      <c r="AG207" s="131">
        <v>70</v>
      </c>
      <c r="AH207" s="131">
        <v>0</v>
      </c>
      <c r="AI207" s="131">
        <v>70</v>
      </c>
      <c r="AJ207" s="131">
        <v>0</v>
      </c>
      <c r="AK207" s="130">
        <f t="shared" ca="1" si="373"/>
        <v>0</v>
      </c>
      <c r="AL207" s="130">
        <f t="shared" ca="1" si="376"/>
        <v>0</v>
      </c>
      <c r="AM207" s="130">
        <f t="shared" ca="1" si="377"/>
        <v>0</v>
      </c>
      <c r="AN207" s="130">
        <f t="shared" ca="1" si="375"/>
        <v>0</v>
      </c>
      <c r="AO207" s="109" t="str">
        <f t="shared" si="378"/>
        <v>C70M0Y70K0</v>
      </c>
      <c r="AQ207" s="109">
        <v>59.33</v>
      </c>
      <c r="AR207" s="109">
        <v>-28.54</v>
      </c>
      <c r="AS207" s="109">
        <v>17.29</v>
      </c>
      <c r="AT207" s="109">
        <v>60.09</v>
      </c>
      <c r="AU207" s="109">
        <v>-32.03</v>
      </c>
      <c r="AV207" s="109">
        <v>17.95</v>
      </c>
      <c r="AW207" s="109">
        <v>63.65</v>
      </c>
      <c r="AX207" s="109">
        <v>-33.549999999999997</v>
      </c>
      <c r="AY207" s="109">
        <v>14.92</v>
      </c>
      <c r="AZ207" s="109">
        <v>59.14</v>
      </c>
      <c r="BA207" s="109">
        <v>-37.79</v>
      </c>
      <c r="BB207" s="109">
        <v>22.45</v>
      </c>
      <c r="BC207" s="109">
        <v>63.3</v>
      </c>
      <c r="BD207" s="109">
        <v>-39.43</v>
      </c>
      <c r="BE207" s="109">
        <v>20.82</v>
      </c>
      <c r="BF207" s="109">
        <v>61.86</v>
      </c>
      <c r="BG207" s="109">
        <v>-38.630000000000003</v>
      </c>
      <c r="BH207" s="109">
        <v>22.8</v>
      </c>
      <c r="BI207" s="109">
        <v>63.25</v>
      </c>
      <c r="BJ207" s="109">
        <v>-41.99</v>
      </c>
      <c r="BK207" s="109">
        <v>20.43</v>
      </c>
      <c r="BL207" s="109">
        <v>64.42</v>
      </c>
      <c r="BM207" s="109">
        <v>-44.79</v>
      </c>
      <c r="BN207" s="109">
        <v>21.82</v>
      </c>
      <c r="BP207" s="131">
        <v>50</v>
      </c>
      <c r="BQ207" s="131">
        <v>50</v>
      </c>
      <c r="BR207" s="131">
        <v>0</v>
      </c>
      <c r="BS207" s="131">
        <v>0</v>
      </c>
      <c r="BT207" s="130">
        <f t="shared" si="380"/>
        <v>0</v>
      </c>
      <c r="BU207" s="130">
        <f t="shared" si="381"/>
        <v>1</v>
      </c>
      <c r="BV207" s="130">
        <f t="shared" ca="1" si="382"/>
        <v>0</v>
      </c>
      <c r="BW207" s="130">
        <f t="shared" ca="1" si="383"/>
        <v>1.368728303203985</v>
      </c>
      <c r="BX207" s="109" t="str">
        <f t="shared" si="379"/>
        <v>C50M50Y0K0</v>
      </c>
      <c r="BZ207" s="109">
        <v>53.9</v>
      </c>
      <c r="CA207" s="109">
        <v>8.7100000000000009</v>
      </c>
      <c r="CB207" s="109">
        <v>-15.68</v>
      </c>
      <c r="CC207" s="109">
        <v>54.59</v>
      </c>
      <c r="CD207" s="109">
        <v>10.73</v>
      </c>
      <c r="CE207" s="109">
        <v>-21.01</v>
      </c>
      <c r="CF207" s="109">
        <v>58.6</v>
      </c>
      <c r="CG207" s="109">
        <v>10.9</v>
      </c>
      <c r="CH207" s="109">
        <v>-23.44</v>
      </c>
      <c r="CI207" s="109">
        <v>52.24</v>
      </c>
      <c r="CJ207" s="109">
        <v>11.42</v>
      </c>
      <c r="CK207" s="109">
        <v>-23.88</v>
      </c>
      <c r="CL207" s="109">
        <v>54.45</v>
      </c>
      <c r="CM207" s="109">
        <v>12.11</v>
      </c>
      <c r="CN207" s="109">
        <v>-25.62</v>
      </c>
      <c r="CO207" s="109">
        <v>53.19</v>
      </c>
      <c r="CP207" s="109">
        <v>11.86</v>
      </c>
      <c r="CQ207" s="109">
        <v>-21.97</v>
      </c>
      <c r="CR207" s="109">
        <v>55.32</v>
      </c>
      <c r="CS207" s="109">
        <v>13.4</v>
      </c>
      <c r="CT207" s="109">
        <v>-28.27</v>
      </c>
      <c r="CU207" s="109">
        <v>54.99</v>
      </c>
      <c r="CV207" s="109">
        <v>16.86</v>
      </c>
      <c r="CW207" s="109">
        <v>-31.41</v>
      </c>
      <c r="CX207" s="111"/>
      <c r="CY207" s="111"/>
      <c r="CZ207" s="111"/>
      <c r="DA207" s="111"/>
      <c r="DB207" s="111"/>
      <c r="DC207" s="111"/>
      <c r="DD207" s="111"/>
      <c r="DE207" s="111"/>
      <c r="DF207" s="111"/>
    </row>
    <row r="208" spans="2:110">
      <c r="B208" s="7"/>
      <c r="C208" s="7"/>
      <c r="D208" s="7"/>
      <c r="E208" s="7"/>
      <c r="F208" s="7"/>
      <c r="G208" s="7"/>
      <c r="H208" s="7"/>
      <c r="I208" s="7"/>
      <c r="J208" s="7"/>
      <c r="K208" s="7"/>
      <c r="L208" s="7"/>
      <c r="M208" s="7"/>
      <c r="N208" s="7"/>
      <c r="O208" s="7"/>
      <c r="P208" s="7"/>
      <c r="Q208" s="7"/>
      <c r="R208" s="64"/>
      <c r="S208" s="64"/>
      <c r="T208" s="64"/>
      <c r="U208" s="64"/>
      <c r="V208" s="64"/>
      <c r="W208" s="64"/>
      <c r="X208" s="64"/>
      <c r="Y208" s="64"/>
      <c r="Z208" s="64"/>
      <c r="AA208" s="64"/>
      <c r="AB208" s="64"/>
      <c r="AC208" s="64"/>
      <c r="AD208"/>
      <c r="AE208" s="134"/>
      <c r="AF208" s="134"/>
      <c r="AG208" s="131">
        <v>30</v>
      </c>
      <c r="AH208" s="131">
        <v>0</v>
      </c>
      <c r="AI208" s="131">
        <v>30</v>
      </c>
      <c r="AJ208" s="131">
        <v>0</v>
      </c>
      <c r="AK208" s="130">
        <f t="shared" ca="1" si="373"/>
        <v>0</v>
      </c>
      <c r="AL208" s="130">
        <f t="shared" ca="1" si="376"/>
        <v>0</v>
      </c>
      <c r="AM208" s="130">
        <f t="shared" ca="1" si="377"/>
        <v>0</v>
      </c>
      <c r="AN208" s="130">
        <f t="shared" ca="1" si="375"/>
        <v>0</v>
      </c>
      <c r="AO208" s="109" t="str">
        <f t="shared" si="378"/>
        <v>C30M0Y30K0</v>
      </c>
      <c r="AQ208" s="109">
        <v>71.7</v>
      </c>
      <c r="AR208" s="109">
        <v>-13.62</v>
      </c>
      <c r="AS208" s="109">
        <v>12.77</v>
      </c>
      <c r="AT208" s="109">
        <v>74.39</v>
      </c>
      <c r="AU208" s="109">
        <v>-13.6</v>
      </c>
      <c r="AV208" s="109">
        <v>11.41</v>
      </c>
      <c r="AW208" s="109">
        <v>80.8</v>
      </c>
      <c r="AX208" s="109">
        <v>-14.64</v>
      </c>
      <c r="AY208" s="109">
        <v>6.89</v>
      </c>
      <c r="AZ208" s="109">
        <v>75.58</v>
      </c>
      <c r="BA208" s="109">
        <v>-15.27</v>
      </c>
      <c r="BB208" s="109">
        <v>12.58</v>
      </c>
      <c r="BC208" s="109">
        <v>79.22</v>
      </c>
      <c r="BD208" s="109">
        <v>-13.99</v>
      </c>
      <c r="BE208" s="109">
        <v>9.59</v>
      </c>
      <c r="BF208" s="109">
        <v>77.47</v>
      </c>
      <c r="BG208" s="109">
        <v>-13.72</v>
      </c>
      <c r="BH208" s="109">
        <v>12.7</v>
      </c>
      <c r="BI208" s="109">
        <v>81.290000000000006</v>
      </c>
      <c r="BJ208" s="109">
        <v>-13.85</v>
      </c>
      <c r="BK208" s="109">
        <v>6.99</v>
      </c>
      <c r="BL208" s="109">
        <v>83.6</v>
      </c>
      <c r="BM208" s="109">
        <v>-15.2</v>
      </c>
      <c r="BN208" s="109">
        <v>7.79</v>
      </c>
      <c r="BP208" s="131">
        <v>0</v>
      </c>
      <c r="BQ208" s="131">
        <v>100</v>
      </c>
      <c r="BR208" s="131">
        <v>70</v>
      </c>
      <c r="BS208" s="131">
        <v>40</v>
      </c>
      <c r="BT208" s="130">
        <f t="shared" si="380"/>
        <v>0</v>
      </c>
      <c r="BU208" s="130">
        <f t="shared" si="381"/>
        <v>1</v>
      </c>
      <c r="BV208" s="130">
        <f t="shared" ca="1" si="382"/>
        <v>0</v>
      </c>
      <c r="BW208" s="130">
        <f t="shared" ca="1" si="383"/>
        <v>1.9381303706052475</v>
      </c>
      <c r="BX208" s="109" t="str">
        <f t="shared" si="379"/>
        <v>C0M100Y70K40</v>
      </c>
      <c r="BZ208" s="109">
        <v>44.11</v>
      </c>
      <c r="CA208" s="109">
        <v>26.91</v>
      </c>
      <c r="CB208" s="109">
        <v>13.63</v>
      </c>
      <c r="CC208" s="109">
        <v>39.78</v>
      </c>
      <c r="CD208" s="109">
        <v>34.08</v>
      </c>
      <c r="CE208" s="109">
        <v>12.81</v>
      </c>
      <c r="CF208" s="109">
        <v>43.87</v>
      </c>
      <c r="CG208" s="109">
        <v>29.41</v>
      </c>
      <c r="CH208" s="109">
        <v>11.04</v>
      </c>
      <c r="CI208" s="109">
        <v>34.090000000000003</v>
      </c>
      <c r="CJ208" s="109">
        <v>40.82</v>
      </c>
      <c r="CK208" s="109">
        <v>17.63</v>
      </c>
      <c r="CL208" s="109">
        <v>35.04</v>
      </c>
      <c r="CM208" s="109">
        <v>46.66</v>
      </c>
      <c r="CN208" s="109">
        <v>21.32</v>
      </c>
      <c r="CO208" s="109">
        <v>34.200000000000003</v>
      </c>
      <c r="CP208" s="109">
        <v>45.62</v>
      </c>
      <c r="CQ208" s="109">
        <v>21.89</v>
      </c>
      <c r="CR208" s="109">
        <v>34.659999999999997</v>
      </c>
      <c r="CS208" s="109">
        <v>47.17</v>
      </c>
      <c r="CT208" s="109">
        <v>21.98</v>
      </c>
      <c r="CU208" s="109">
        <v>32.47</v>
      </c>
      <c r="CV208" s="109">
        <v>51.75</v>
      </c>
      <c r="CW208" s="109">
        <v>22.99</v>
      </c>
      <c r="CX208" s="111"/>
      <c r="CY208" s="111"/>
      <c r="CZ208" s="111"/>
      <c r="DA208" s="111"/>
      <c r="DB208" s="111"/>
      <c r="DC208" s="111"/>
      <c r="DD208" s="111"/>
      <c r="DE208" s="111"/>
      <c r="DF208" s="111"/>
    </row>
    <row r="209" spans="2:110">
      <c r="B209" s="7"/>
      <c r="C209" s="7"/>
      <c r="D209" s="7"/>
      <c r="E209" s="7"/>
      <c r="F209" s="7"/>
      <c r="G209" s="7"/>
      <c r="H209" s="7"/>
      <c r="I209" s="7"/>
      <c r="J209" s="7"/>
      <c r="K209" s="7"/>
      <c r="L209" s="7"/>
      <c r="M209" s="7"/>
      <c r="N209" s="7"/>
      <c r="O209" s="7"/>
      <c r="P209" s="7"/>
      <c r="Q209" s="7"/>
      <c r="R209" s="64"/>
      <c r="S209" s="64"/>
      <c r="T209" s="64"/>
      <c r="U209" s="64"/>
      <c r="V209" s="64"/>
      <c r="W209" s="64"/>
      <c r="X209" s="64"/>
      <c r="Y209" s="64"/>
      <c r="Z209" s="64"/>
      <c r="AA209" s="64"/>
      <c r="AB209" s="64"/>
      <c r="AC209" s="64"/>
      <c r="AD209"/>
      <c r="AE209" s="134"/>
      <c r="AF209" s="134"/>
      <c r="AG209" s="131">
        <v>100</v>
      </c>
      <c r="AH209" s="131">
        <v>40</v>
      </c>
      <c r="AI209" s="131">
        <v>0</v>
      </c>
      <c r="AJ209" s="131">
        <v>0</v>
      </c>
      <c r="AK209" s="130">
        <f t="shared" ca="1" si="373"/>
        <v>0</v>
      </c>
      <c r="AL209" s="130">
        <f t="shared" ca="1" si="376"/>
        <v>0</v>
      </c>
      <c r="AM209" s="130">
        <f t="shared" ca="1" si="377"/>
        <v>0</v>
      </c>
      <c r="AN209" s="130">
        <f t="shared" ca="1" si="375"/>
        <v>0</v>
      </c>
      <c r="AO209" s="109" t="str">
        <f t="shared" si="378"/>
        <v>C100M40Y0K0</v>
      </c>
      <c r="AQ209" s="109">
        <v>49.52</v>
      </c>
      <c r="AR209" s="109">
        <v>-6.46</v>
      </c>
      <c r="AS209" s="109">
        <v>-23.12</v>
      </c>
      <c r="AT209" s="109">
        <v>48.08</v>
      </c>
      <c r="AU209" s="109">
        <v>-8.75</v>
      </c>
      <c r="AV209" s="109">
        <v>-33.590000000000003</v>
      </c>
      <c r="AW209" s="109">
        <v>50.11</v>
      </c>
      <c r="AX209" s="109">
        <v>-10.050000000000001</v>
      </c>
      <c r="AY209" s="109">
        <v>-37.85</v>
      </c>
      <c r="AZ209" s="109">
        <v>43.29</v>
      </c>
      <c r="BA209" s="109">
        <v>-14.51</v>
      </c>
      <c r="BB209" s="109">
        <v>-38.909999999999997</v>
      </c>
      <c r="BC209" s="109">
        <v>45.78</v>
      </c>
      <c r="BD209" s="109">
        <v>-16.77</v>
      </c>
      <c r="BE209" s="109">
        <v>-42.9</v>
      </c>
      <c r="BF209" s="109">
        <v>44.7</v>
      </c>
      <c r="BG209" s="109">
        <v>-16.41</v>
      </c>
      <c r="BH209" s="109">
        <v>-38.85</v>
      </c>
      <c r="BI209" s="109">
        <v>44.12</v>
      </c>
      <c r="BJ209" s="109">
        <v>-16.25</v>
      </c>
      <c r="BK209" s="109">
        <v>-47.39</v>
      </c>
      <c r="BL209" s="109">
        <v>40.64</v>
      </c>
      <c r="BM209" s="109">
        <v>-16.3</v>
      </c>
      <c r="BN209" s="109">
        <v>-52.82</v>
      </c>
      <c r="BP209" s="131">
        <v>10</v>
      </c>
      <c r="BQ209" s="131">
        <v>0</v>
      </c>
      <c r="BR209" s="131">
        <v>0</v>
      </c>
      <c r="BS209" s="131">
        <v>0</v>
      </c>
      <c r="BT209" s="130">
        <f t="shared" si="380"/>
        <v>0</v>
      </c>
      <c r="BU209" s="130">
        <f t="shared" si="381"/>
        <v>1</v>
      </c>
      <c r="BV209" s="130">
        <f t="shared" ca="1" si="382"/>
        <v>0</v>
      </c>
      <c r="BW209" s="130">
        <f t="shared" ca="1" si="383"/>
        <v>1.2005809115402532E-2</v>
      </c>
      <c r="BX209" s="109" t="str">
        <f t="shared" si="379"/>
        <v>C10M0Y0K0</v>
      </c>
      <c r="BZ209" s="109">
        <v>80.88</v>
      </c>
      <c r="CA209" s="109">
        <v>-3.2</v>
      </c>
      <c r="CB209" s="109">
        <v>-0.12</v>
      </c>
      <c r="CC209" s="109">
        <v>83.22</v>
      </c>
      <c r="CD209" s="109">
        <v>-3.68</v>
      </c>
      <c r="CE209" s="109">
        <v>-1.78</v>
      </c>
      <c r="CF209" s="109">
        <v>90.81</v>
      </c>
      <c r="CG209" s="109">
        <v>-2.77</v>
      </c>
      <c r="CH209" s="109">
        <v>-8.7899999999999991</v>
      </c>
      <c r="CI209" s="109">
        <v>85.02</v>
      </c>
      <c r="CJ209" s="109">
        <v>-4.29</v>
      </c>
      <c r="CK209" s="109">
        <v>-2.23</v>
      </c>
      <c r="CL209" s="109">
        <v>88.14</v>
      </c>
      <c r="CM209" s="109">
        <v>-3.29</v>
      </c>
      <c r="CN209" s="109">
        <v>-4.71</v>
      </c>
      <c r="CO209" s="109">
        <v>86.21</v>
      </c>
      <c r="CP209" s="109">
        <v>-3.23</v>
      </c>
      <c r="CQ209" s="109">
        <v>-0.66</v>
      </c>
      <c r="CR209" s="109">
        <v>90.99</v>
      </c>
      <c r="CS209" s="109">
        <v>-2.33</v>
      </c>
      <c r="CT209" s="109">
        <v>-8.84</v>
      </c>
      <c r="CU209" s="109">
        <v>93.02</v>
      </c>
      <c r="CV209" s="109">
        <v>-2.82</v>
      </c>
      <c r="CW209" s="109">
        <v>-9.1999999999999993</v>
      </c>
      <c r="CX209" s="111"/>
      <c r="CY209" s="111"/>
      <c r="CZ209" s="111"/>
      <c r="DA209" s="111"/>
      <c r="DB209" s="111"/>
      <c r="DC209" s="111"/>
      <c r="DD209" s="111"/>
      <c r="DE209" s="111"/>
      <c r="DF209" s="111"/>
    </row>
    <row r="210" spans="2:110">
      <c r="B210" s="7"/>
      <c r="C210" s="7"/>
      <c r="D210" s="7"/>
      <c r="E210" s="7"/>
      <c r="F210" s="7"/>
      <c r="G210" s="7"/>
      <c r="H210" s="7"/>
      <c r="I210" s="7"/>
      <c r="J210" s="7"/>
      <c r="K210" s="7"/>
      <c r="L210" s="7"/>
      <c r="M210" s="7"/>
      <c r="N210" s="7"/>
      <c r="O210" s="7"/>
      <c r="P210" s="7"/>
      <c r="Q210" s="7"/>
      <c r="R210" s="64"/>
      <c r="S210" s="64"/>
      <c r="T210" s="64"/>
      <c r="U210" s="64"/>
      <c r="V210" s="64"/>
      <c r="W210" s="64"/>
      <c r="X210" s="64"/>
      <c r="Y210" s="64"/>
      <c r="Z210" s="64"/>
      <c r="AA210" s="64"/>
      <c r="AB210" s="64"/>
      <c r="AC210" s="64"/>
      <c r="AD210"/>
      <c r="AE210" s="134"/>
      <c r="AF210" s="134"/>
      <c r="AG210" s="131">
        <v>0</v>
      </c>
      <c r="AH210" s="131">
        <v>100</v>
      </c>
      <c r="AI210" s="131">
        <v>40</v>
      </c>
      <c r="AJ210" s="131">
        <v>0</v>
      </c>
      <c r="AK210" s="130">
        <f t="shared" ca="1" si="373"/>
        <v>0</v>
      </c>
      <c r="AL210" s="130">
        <f t="shared" ca="1" si="376"/>
        <v>0</v>
      </c>
      <c r="AM210" s="130">
        <f t="shared" ca="1" si="377"/>
        <v>0</v>
      </c>
      <c r="AN210" s="130">
        <f t="shared" ca="1" si="375"/>
        <v>0</v>
      </c>
      <c r="AO210" s="109" t="str">
        <f t="shared" si="378"/>
        <v>C0M100Y40K0</v>
      </c>
      <c r="AQ210" s="109">
        <v>54.88</v>
      </c>
      <c r="AR210" s="109">
        <v>45.23</v>
      </c>
      <c r="AS210" s="109">
        <v>13.97</v>
      </c>
      <c r="AT210" s="109">
        <v>52.06</v>
      </c>
      <c r="AU210" s="109">
        <v>56.18</v>
      </c>
      <c r="AV210" s="109">
        <v>12.52</v>
      </c>
      <c r="AW210" s="109">
        <v>55.46</v>
      </c>
      <c r="AX210" s="109">
        <v>56.99</v>
      </c>
      <c r="AY210" s="109">
        <v>10.09</v>
      </c>
      <c r="AZ210" s="109">
        <v>47.08</v>
      </c>
      <c r="BA210" s="109">
        <v>64</v>
      </c>
      <c r="BB210" s="109">
        <v>15.36</v>
      </c>
      <c r="BC210" s="109">
        <v>48.71</v>
      </c>
      <c r="BD210" s="109">
        <v>68.489999999999995</v>
      </c>
      <c r="BE210" s="109">
        <v>15.33</v>
      </c>
      <c r="BF210" s="109">
        <v>47.57</v>
      </c>
      <c r="BG210" s="109">
        <v>67.09</v>
      </c>
      <c r="BH210" s="109">
        <v>16.93</v>
      </c>
      <c r="BI210" s="109">
        <v>48.61</v>
      </c>
      <c r="BJ210" s="109">
        <v>71.459999999999994</v>
      </c>
      <c r="BK210" s="109">
        <v>16.14</v>
      </c>
      <c r="BL210" s="109">
        <v>47.89</v>
      </c>
      <c r="BM210" s="109">
        <v>75.88</v>
      </c>
      <c r="BN210" s="109">
        <v>14.27</v>
      </c>
      <c r="BP210" s="131">
        <v>25</v>
      </c>
      <c r="BQ210" s="131">
        <v>25</v>
      </c>
      <c r="BR210" s="131">
        <v>0</v>
      </c>
      <c r="BS210" s="131">
        <v>0</v>
      </c>
      <c r="BT210" s="130">
        <f t="shared" si="380"/>
        <v>0</v>
      </c>
      <c r="BU210" s="130">
        <f t="shared" si="381"/>
        <v>1</v>
      </c>
      <c r="BV210" s="130">
        <f t="shared" ca="1" si="382"/>
        <v>0</v>
      </c>
      <c r="BW210" s="130">
        <f t="shared" ca="1" si="383"/>
        <v>0.29630805286874978</v>
      </c>
      <c r="BX210" s="109" t="str">
        <f t="shared" si="379"/>
        <v>C25M25Y0K0</v>
      </c>
      <c r="BZ210" s="109">
        <v>65.959999999999994</v>
      </c>
      <c r="CA210" s="109">
        <v>7.13</v>
      </c>
      <c r="CB210" s="109">
        <v>-8.48</v>
      </c>
      <c r="CC210" s="109">
        <v>68.42</v>
      </c>
      <c r="CD210" s="109">
        <v>6.51</v>
      </c>
      <c r="CE210" s="109">
        <v>-11.04</v>
      </c>
      <c r="CF210" s="109">
        <v>74.3</v>
      </c>
      <c r="CG210" s="109">
        <v>7.88</v>
      </c>
      <c r="CH210" s="109">
        <v>-15.69</v>
      </c>
      <c r="CI210" s="109">
        <v>68.540000000000006</v>
      </c>
      <c r="CJ210" s="109">
        <v>6.78</v>
      </c>
      <c r="CK210" s="109">
        <v>-12.55</v>
      </c>
      <c r="CL210" s="109">
        <v>71.95</v>
      </c>
      <c r="CM210" s="109">
        <v>6.78</v>
      </c>
      <c r="CN210" s="109">
        <v>-13.68</v>
      </c>
      <c r="CO210" s="109">
        <v>70.34</v>
      </c>
      <c r="CP210" s="109">
        <v>6.65</v>
      </c>
      <c r="CQ210" s="109">
        <v>-9.8800000000000008</v>
      </c>
      <c r="CR210" s="109">
        <v>74.05</v>
      </c>
      <c r="CS210" s="109">
        <v>7.94</v>
      </c>
      <c r="CT210" s="109">
        <v>-17.46</v>
      </c>
      <c r="CU210" s="109">
        <v>75.28</v>
      </c>
      <c r="CV210" s="109">
        <v>9.2899999999999991</v>
      </c>
      <c r="CW210" s="109">
        <v>-19.420000000000002</v>
      </c>
      <c r="CX210" s="111"/>
      <c r="CY210" s="111"/>
      <c r="CZ210" s="111"/>
      <c r="DA210" s="111"/>
      <c r="DB210" s="111"/>
      <c r="DC210" s="111"/>
      <c r="DD210" s="111"/>
      <c r="DE210" s="111"/>
      <c r="DF210" s="111"/>
    </row>
    <row r="211" spans="2:110">
      <c r="B211" s="7"/>
      <c r="C211" s="7"/>
      <c r="D211" s="7"/>
      <c r="E211" s="7"/>
      <c r="F211" s="7"/>
      <c r="G211" s="7"/>
      <c r="H211" s="7"/>
      <c r="I211" s="7"/>
      <c r="J211" s="7"/>
      <c r="K211" s="7"/>
      <c r="L211" s="7"/>
      <c r="M211" s="7"/>
      <c r="N211" s="7"/>
      <c r="O211" s="7"/>
      <c r="P211" s="7"/>
      <c r="Q211" s="7"/>
      <c r="R211" s="64"/>
      <c r="S211" s="64"/>
      <c r="T211" s="64"/>
      <c r="U211" s="64"/>
      <c r="V211" s="64"/>
      <c r="W211" s="64"/>
      <c r="X211" s="64"/>
      <c r="Y211" s="64"/>
      <c r="Z211" s="64"/>
      <c r="AA211" s="64"/>
      <c r="AB211" s="64"/>
      <c r="AC211" s="64"/>
      <c r="AD211"/>
      <c r="AE211" s="134"/>
      <c r="AF211" s="134"/>
      <c r="AG211" s="131">
        <v>40</v>
      </c>
      <c r="AH211" s="131">
        <v>0</v>
      </c>
      <c r="AI211" s="131">
        <v>100</v>
      </c>
      <c r="AJ211" s="131">
        <v>0</v>
      </c>
      <c r="AK211" s="130">
        <f t="shared" ca="1" si="373"/>
        <v>0</v>
      </c>
      <c r="AL211" s="130">
        <f t="shared" ca="1" si="376"/>
        <v>0</v>
      </c>
      <c r="AM211" s="130">
        <f t="shared" ca="1" si="377"/>
        <v>0</v>
      </c>
      <c r="AN211" s="130">
        <f t="shared" ca="1" si="375"/>
        <v>0</v>
      </c>
      <c r="AO211" s="109" t="str">
        <f t="shared" si="378"/>
        <v>C40M0Y100K0</v>
      </c>
      <c r="AQ211" s="109">
        <v>65.540000000000006</v>
      </c>
      <c r="AR211" s="109">
        <v>-19.82</v>
      </c>
      <c r="AS211" s="109">
        <v>36.409999999999997</v>
      </c>
      <c r="AT211" s="109">
        <v>68.14</v>
      </c>
      <c r="AU211" s="109">
        <v>-20.059999999999999</v>
      </c>
      <c r="AV211" s="109">
        <v>46.8</v>
      </c>
      <c r="AW211" s="109">
        <v>72.72</v>
      </c>
      <c r="AX211" s="109">
        <v>-21.86</v>
      </c>
      <c r="AY211" s="109">
        <v>48.39</v>
      </c>
      <c r="AZ211" s="109">
        <v>67.81</v>
      </c>
      <c r="BA211" s="109">
        <v>-23.15</v>
      </c>
      <c r="BB211" s="109">
        <v>57.29</v>
      </c>
      <c r="BC211" s="109">
        <v>73.510000000000005</v>
      </c>
      <c r="BD211" s="109">
        <v>-22.14</v>
      </c>
      <c r="BE211" s="109">
        <v>62.37</v>
      </c>
      <c r="BF211" s="109">
        <v>71.87</v>
      </c>
      <c r="BG211" s="109">
        <v>-21.7</v>
      </c>
      <c r="BH211" s="109">
        <v>62.9</v>
      </c>
      <c r="BI211" s="109">
        <v>73.930000000000007</v>
      </c>
      <c r="BJ211" s="109">
        <v>-24.83</v>
      </c>
      <c r="BK211" s="109">
        <v>66.08</v>
      </c>
      <c r="BL211" s="109">
        <v>74.69</v>
      </c>
      <c r="BM211" s="109">
        <v>-26.31</v>
      </c>
      <c r="BN211" s="109">
        <v>72.680000000000007</v>
      </c>
      <c r="BP211" s="131">
        <v>0</v>
      </c>
      <c r="BQ211" s="131">
        <v>100</v>
      </c>
      <c r="BR211" s="131">
        <v>100</v>
      </c>
      <c r="BS211" s="131">
        <v>40</v>
      </c>
      <c r="BT211" s="130">
        <f t="shared" si="380"/>
        <v>0</v>
      </c>
      <c r="BU211" s="130">
        <f t="shared" si="381"/>
        <v>1</v>
      </c>
      <c r="BV211" s="130">
        <f t="shared" ca="1" si="382"/>
        <v>0</v>
      </c>
      <c r="BW211" s="130">
        <f t="shared" ca="1" si="383"/>
        <v>1.9507687819368094</v>
      </c>
      <c r="BX211" s="109" t="str">
        <f t="shared" si="379"/>
        <v>C0M100Y100K40</v>
      </c>
      <c r="BZ211" s="109">
        <v>43.75</v>
      </c>
      <c r="CA211" s="109">
        <v>26.31</v>
      </c>
      <c r="CB211" s="109">
        <v>15.82</v>
      </c>
      <c r="CC211" s="109">
        <v>39.68</v>
      </c>
      <c r="CD211" s="109">
        <v>33.54</v>
      </c>
      <c r="CE211" s="109">
        <v>17.52</v>
      </c>
      <c r="CF211" s="109">
        <v>43.21</v>
      </c>
      <c r="CG211" s="109">
        <v>28.57</v>
      </c>
      <c r="CH211" s="109">
        <v>15.5</v>
      </c>
      <c r="CI211" s="109">
        <v>33.92</v>
      </c>
      <c r="CJ211" s="109">
        <v>40.17</v>
      </c>
      <c r="CK211" s="109">
        <v>24.66</v>
      </c>
      <c r="CL211" s="109">
        <v>35.159999999999997</v>
      </c>
      <c r="CM211" s="109">
        <v>45.74</v>
      </c>
      <c r="CN211" s="109">
        <v>31.14</v>
      </c>
      <c r="CO211" s="109">
        <v>34.32</v>
      </c>
      <c r="CP211" s="109">
        <v>44.72</v>
      </c>
      <c r="CQ211" s="109">
        <v>31.08</v>
      </c>
      <c r="CR211" s="109">
        <v>34.119999999999997</v>
      </c>
      <c r="CS211" s="109">
        <v>45.71</v>
      </c>
      <c r="CT211" s="109">
        <v>31.75</v>
      </c>
      <c r="CU211" s="109">
        <v>32.020000000000003</v>
      </c>
      <c r="CV211" s="109">
        <v>50.78</v>
      </c>
      <c r="CW211" s="109">
        <v>36.25</v>
      </c>
      <c r="CX211" s="111"/>
      <c r="CY211" s="111"/>
      <c r="CZ211" s="111"/>
      <c r="DA211" s="111"/>
      <c r="DB211" s="111"/>
      <c r="DC211" s="111"/>
      <c r="DD211" s="111"/>
      <c r="DE211" s="111"/>
      <c r="DF211" s="111"/>
    </row>
    <row r="212" spans="2:110">
      <c r="B212" s="7"/>
      <c r="C212" s="7"/>
      <c r="D212" s="7"/>
      <c r="E212" s="7"/>
      <c r="F212" s="7"/>
      <c r="G212" s="7"/>
      <c r="H212" s="7"/>
      <c r="I212" s="7"/>
      <c r="J212" s="7"/>
      <c r="K212" s="7"/>
      <c r="L212" s="7"/>
      <c r="M212" s="7"/>
      <c r="N212" s="7"/>
      <c r="O212" s="7"/>
      <c r="P212" s="7"/>
      <c r="Q212" s="7"/>
      <c r="R212" s="64"/>
      <c r="S212" s="64"/>
      <c r="T212" s="64"/>
      <c r="U212" s="64"/>
      <c r="V212" s="64"/>
      <c r="W212" s="64"/>
      <c r="X212" s="64"/>
      <c r="Y212" s="64"/>
      <c r="Z212" s="64"/>
      <c r="AA212" s="64"/>
      <c r="AB212" s="64"/>
      <c r="AC212" s="64"/>
      <c r="AD212"/>
      <c r="AE212" s="134"/>
      <c r="AF212" s="134"/>
      <c r="AG212" s="131">
        <v>10</v>
      </c>
      <c r="AH212" s="131">
        <v>40</v>
      </c>
      <c r="AI212" s="131">
        <v>40</v>
      </c>
      <c r="AJ212" s="131">
        <v>0</v>
      </c>
      <c r="AK212" s="130">
        <f t="shared" ca="1" si="373"/>
        <v>0</v>
      </c>
      <c r="AL212" s="130">
        <f t="shared" ca="1" si="376"/>
        <v>0</v>
      </c>
      <c r="AM212" s="130">
        <f t="shared" ca="1" si="377"/>
        <v>0</v>
      </c>
      <c r="AN212" s="130">
        <f t="shared" ca="1" si="375"/>
        <v>0</v>
      </c>
      <c r="AO212" s="109" t="str">
        <f t="shared" si="378"/>
        <v>C10M40Y40K0</v>
      </c>
      <c r="AQ212" s="109">
        <v>63.79</v>
      </c>
      <c r="AR212" s="109">
        <v>18.77</v>
      </c>
      <c r="AS212" s="109">
        <v>16.79</v>
      </c>
      <c r="AT212" s="109">
        <v>64.77</v>
      </c>
      <c r="AU212" s="109">
        <v>19.41</v>
      </c>
      <c r="AV212" s="109">
        <v>17.440000000000001</v>
      </c>
      <c r="AW212" s="109">
        <v>70.44</v>
      </c>
      <c r="AX212" s="109">
        <v>19.75</v>
      </c>
      <c r="AY212" s="109">
        <v>13.35</v>
      </c>
      <c r="AZ212" s="109">
        <v>64.88</v>
      </c>
      <c r="BA212" s="109">
        <v>21.16</v>
      </c>
      <c r="BB212" s="109">
        <v>18.82</v>
      </c>
      <c r="BC212" s="109">
        <v>68.28</v>
      </c>
      <c r="BD212" s="109">
        <v>19.68</v>
      </c>
      <c r="BE212" s="109">
        <v>18.53</v>
      </c>
      <c r="BF212" s="109">
        <v>66.739999999999995</v>
      </c>
      <c r="BG212" s="109">
        <v>19.29</v>
      </c>
      <c r="BH212" s="109">
        <v>20.82</v>
      </c>
      <c r="BI212" s="109">
        <v>70.069999999999993</v>
      </c>
      <c r="BJ212" s="109">
        <v>20.52</v>
      </c>
      <c r="BK212" s="109">
        <v>17</v>
      </c>
      <c r="BL212" s="109">
        <v>71.37</v>
      </c>
      <c r="BM212" s="109">
        <v>22.44</v>
      </c>
      <c r="BN212" s="109">
        <v>17.3</v>
      </c>
      <c r="BP212" s="131">
        <v>0</v>
      </c>
      <c r="BQ212" s="131">
        <v>100</v>
      </c>
      <c r="BR212" s="131">
        <v>0</v>
      </c>
      <c r="BS212" s="131">
        <v>0</v>
      </c>
      <c r="BT212" s="130">
        <f t="shared" si="380"/>
        <v>0</v>
      </c>
      <c r="BU212" s="130">
        <f t="shared" si="381"/>
        <v>1</v>
      </c>
      <c r="BV212" s="130">
        <f t="shared" ca="1" si="382"/>
        <v>0</v>
      </c>
      <c r="BW212" s="130">
        <f t="shared" ca="1" si="383"/>
        <v>1.9972659789720659</v>
      </c>
      <c r="BX212" s="109" t="str">
        <f t="shared" si="379"/>
        <v>C0M100Y0K0</v>
      </c>
      <c r="BZ212" s="109">
        <v>56</v>
      </c>
      <c r="CA212" s="109">
        <v>48</v>
      </c>
      <c r="CB212" s="109">
        <v>0</v>
      </c>
      <c r="CC212" s="109">
        <v>52</v>
      </c>
      <c r="CD212" s="109">
        <v>58</v>
      </c>
      <c r="CE212" s="109">
        <v>-2</v>
      </c>
      <c r="CF212" s="109">
        <v>56</v>
      </c>
      <c r="CG212" s="109">
        <v>61</v>
      </c>
      <c r="CH212" s="109">
        <v>-2</v>
      </c>
      <c r="CI212" s="109">
        <v>47</v>
      </c>
      <c r="CJ212" s="109">
        <v>66</v>
      </c>
      <c r="CK212" s="109">
        <v>-3</v>
      </c>
      <c r="CL212" s="109">
        <v>48</v>
      </c>
      <c r="CM212" s="109">
        <v>71</v>
      </c>
      <c r="CN212" s="109">
        <v>-4</v>
      </c>
      <c r="CO212" s="109">
        <v>46.87</v>
      </c>
      <c r="CP212" s="109">
        <v>69.55</v>
      </c>
      <c r="CQ212" s="109">
        <v>-1.55</v>
      </c>
      <c r="CR212" s="109">
        <v>48</v>
      </c>
      <c r="CS212" s="109">
        <v>75</v>
      </c>
      <c r="CT212" s="109">
        <v>-4</v>
      </c>
      <c r="CU212" s="109">
        <v>47</v>
      </c>
      <c r="CV212" s="109">
        <v>78</v>
      </c>
      <c r="CW212" s="109">
        <v>-10</v>
      </c>
      <c r="CX212" s="111"/>
      <c r="CY212" s="111"/>
      <c r="CZ212" s="111"/>
      <c r="DA212" s="111"/>
      <c r="DB212" s="111"/>
      <c r="DC212" s="111"/>
      <c r="DD212" s="111"/>
      <c r="DE212" s="111"/>
      <c r="DF212" s="111"/>
    </row>
    <row r="213" spans="2:110">
      <c r="B213" s="7"/>
      <c r="C213" s="7"/>
      <c r="D213" s="7"/>
      <c r="E213" s="7"/>
      <c r="F213" s="7"/>
      <c r="G213" s="7"/>
      <c r="H213" s="7"/>
      <c r="I213" s="7"/>
      <c r="J213" s="7"/>
      <c r="K213" s="7"/>
      <c r="L213" s="7"/>
      <c r="M213" s="7"/>
      <c r="N213" s="7"/>
      <c r="O213" s="7"/>
      <c r="P213" s="7"/>
      <c r="Q213" s="7"/>
      <c r="R213" s="64"/>
      <c r="S213" s="64"/>
      <c r="T213" s="64"/>
      <c r="U213" s="64"/>
      <c r="V213" s="64"/>
      <c r="W213" s="64"/>
      <c r="X213" s="64"/>
      <c r="Y213" s="64"/>
      <c r="Z213" s="64"/>
      <c r="AA213" s="64"/>
      <c r="AB213" s="64"/>
      <c r="AC213" s="64"/>
      <c r="AD213"/>
      <c r="AE213" s="134"/>
      <c r="AF213" s="134"/>
      <c r="AG213" s="131">
        <v>20</v>
      </c>
      <c r="AH213" s="131">
        <v>70</v>
      </c>
      <c r="AI213" s="131">
        <v>70</v>
      </c>
      <c r="AJ213" s="131">
        <v>0</v>
      </c>
      <c r="AK213" s="130">
        <f t="shared" ca="1" si="373"/>
        <v>0</v>
      </c>
      <c r="AL213" s="130">
        <f t="shared" ca="1" si="376"/>
        <v>0</v>
      </c>
      <c r="AM213" s="130">
        <f t="shared" ca="1" si="377"/>
        <v>0</v>
      </c>
      <c r="AN213" s="130">
        <f t="shared" ca="1" si="375"/>
        <v>0</v>
      </c>
      <c r="AO213" s="109" t="str">
        <f t="shared" si="378"/>
        <v>C20M70Y70K0</v>
      </c>
      <c r="AQ213" s="109">
        <v>53.48</v>
      </c>
      <c r="AR213" s="109">
        <v>25.24</v>
      </c>
      <c r="AS213" s="109">
        <v>16.55</v>
      </c>
      <c r="AT213" s="109">
        <v>51.58</v>
      </c>
      <c r="AU213" s="109">
        <v>31.31</v>
      </c>
      <c r="AV213" s="109">
        <v>19.809999999999999</v>
      </c>
      <c r="AW213" s="109">
        <v>55.62</v>
      </c>
      <c r="AX213" s="109">
        <v>30.38</v>
      </c>
      <c r="AY213" s="109">
        <v>16.84</v>
      </c>
      <c r="AZ213" s="109">
        <v>50.04</v>
      </c>
      <c r="BA213" s="109">
        <v>34.840000000000003</v>
      </c>
      <c r="BB213" s="109">
        <v>24.78</v>
      </c>
      <c r="BC213" s="109">
        <v>51.62</v>
      </c>
      <c r="BD213" s="109">
        <v>36.5</v>
      </c>
      <c r="BE213" s="109">
        <v>27.17</v>
      </c>
      <c r="BF213" s="109">
        <v>50.42</v>
      </c>
      <c r="BG213" s="109">
        <v>35.75</v>
      </c>
      <c r="BH213" s="109">
        <v>28.34</v>
      </c>
      <c r="BI213" s="109">
        <v>52.64</v>
      </c>
      <c r="BJ213" s="109">
        <v>37</v>
      </c>
      <c r="BK213" s="109">
        <v>27.19</v>
      </c>
      <c r="BL213" s="109">
        <v>52.58</v>
      </c>
      <c r="BM213" s="109">
        <v>39.36</v>
      </c>
      <c r="BN213" s="109">
        <v>28.41</v>
      </c>
      <c r="BP213" s="131">
        <v>0</v>
      </c>
      <c r="BQ213" s="131">
        <v>100</v>
      </c>
      <c r="BR213" s="131">
        <v>100</v>
      </c>
      <c r="BS213" s="131">
        <v>80</v>
      </c>
      <c r="BT213" s="130">
        <f t="shared" si="380"/>
        <v>0</v>
      </c>
      <c r="BU213" s="130">
        <f t="shared" si="381"/>
        <v>1</v>
      </c>
      <c r="BV213" s="130">
        <f t="shared" ca="1" si="382"/>
        <v>0</v>
      </c>
      <c r="BW213" s="130">
        <f t="shared" ca="1" si="383"/>
        <v>0.8616600469033957</v>
      </c>
      <c r="BX213" s="109" t="str">
        <f t="shared" si="379"/>
        <v>C0M100Y100K80</v>
      </c>
      <c r="BZ213" s="109">
        <v>37.380000000000003</v>
      </c>
      <c r="CA213" s="109">
        <v>15.3</v>
      </c>
      <c r="CB213" s="109">
        <v>10.039999999999999</v>
      </c>
      <c r="CC213" s="109">
        <v>28.71</v>
      </c>
      <c r="CD213" s="109">
        <v>13.27</v>
      </c>
      <c r="CE213" s="109">
        <v>7.68</v>
      </c>
      <c r="CF213" s="109">
        <v>32.979999999999997</v>
      </c>
      <c r="CG213" s="109">
        <v>7.47</v>
      </c>
      <c r="CH213" s="109">
        <v>6.08</v>
      </c>
      <c r="CI213" s="109">
        <v>22.15</v>
      </c>
      <c r="CJ213" s="109">
        <v>17.55</v>
      </c>
      <c r="CK213" s="109">
        <v>11.37</v>
      </c>
      <c r="CL213" s="109">
        <v>20.34</v>
      </c>
      <c r="CM213" s="109">
        <v>23.63</v>
      </c>
      <c r="CN213" s="109">
        <v>16.43</v>
      </c>
      <c r="CO213" s="109">
        <v>19.89</v>
      </c>
      <c r="CP213" s="109">
        <v>22.95</v>
      </c>
      <c r="CQ213" s="109">
        <v>16.14</v>
      </c>
      <c r="CR213" s="109">
        <v>19.54</v>
      </c>
      <c r="CS213" s="109">
        <v>21.84</v>
      </c>
      <c r="CT213" s="109">
        <v>15.87</v>
      </c>
      <c r="CU213" s="109">
        <v>16.149999999999999</v>
      </c>
      <c r="CV213" s="109">
        <v>26.7</v>
      </c>
      <c r="CW213" s="109">
        <v>18.38</v>
      </c>
      <c r="CX213" s="111"/>
      <c r="CY213" s="111"/>
      <c r="CZ213" s="111"/>
      <c r="DA213" s="111"/>
      <c r="DB213" s="111"/>
      <c r="DC213" s="111"/>
      <c r="DD213" s="111"/>
      <c r="DE213" s="111"/>
      <c r="DF213" s="111"/>
    </row>
    <row r="214" spans="2:110">
      <c r="B214" s="7"/>
      <c r="C214" s="7"/>
      <c r="D214" s="7"/>
      <c r="E214" s="7"/>
      <c r="F214" s="7"/>
      <c r="G214" s="7"/>
      <c r="H214" s="7"/>
      <c r="I214" s="7"/>
      <c r="J214" s="7"/>
      <c r="K214" s="7"/>
      <c r="L214" s="7"/>
      <c r="M214" s="7"/>
      <c r="N214" s="7"/>
      <c r="O214" s="7"/>
      <c r="P214" s="7"/>
      <c r="Q214" s="7"/>
      <c r="R214" s="64"/>
      <c r="S214" s="64"/>
      <c r="T214" s="64"/>
      <c r="U214" s="64"/>
      <c r="V214" s="64"/>
      <c r="W214" s="64"/>
      <c r="X214" s="64"/>
      <c r="Y214" s="64"/>
      <c r="Z214" s="64"/>
      <c r="AA214" s="64"/>
      <c r="AB214" s="64"/>
      <c r="AC214" s="64"/>
      <c r="AD214"/>
      <c r="AE214" s="134"/>
      <c r="AF214" s="134"/>
      <c r="AG214" s="131">
        <v>0</v>
      </c>
      <c r="AH214" s="131">
        <v>70</v>
      </c>
      <c r="AI214" s="131">
        <v>70</v>
      </c>
      <c r="AJ214" s="131">
        <v>40</v>
      </c>
      <c r="AK214" s="130">
        <f t="shared" ca="1" si="373"/>
        <v>0</v>
      </c>
      <c r="AL214" s="130">
        <f t="shared" ca="1" si="376"/>
        <v>0</v>
      </c>
      <c r="AM214" s="130">
        <f t="shared" ca="1" si="377"/>
        <v>0</v>
      </c>
      <c r="AN214" s="130">
        <f t="shared" ca="1" si="375"/>
        <v>0</v>
      </c>
      <c r="AO214" s="109" t="str">
        <f t="shared" si="378"/>
        <v>C0M70Y70K40</v>
      </c>
      <c r="AQ214" s="109">
        <v>46.69</v>
      </c>
      <c r="AR214" s="109">
        <v>21.55</v>
      </c>
      <c r="AS214" s="109">
        <v>16</v>
      </c>
      <c r="AT214" s="109">
        <v>43.96</v>
      </c>
      <c r="AU214" s="109">
        <v>25.25</v>
      </c>
      <c r="AV214" s="109">
        <v>16.850000000000001</v>
      </c>
      <c r="AW214" s="109">
        <v>47.95</v>
      </c>
      <c r="AX214" s="109">
        <v>21.93</v>
      </c>
      <c r="AY214" s="109">
        <v>14.03</v>
      </c>
      <c r="AZ214" s="109">
        <v>39.69</v>
      </c>
      <c r="BA214" s="109">
        <v>30.15</v>
      </c>
      <c r="BB214" s="109">
        <v>21.63</v>
      </c>
      <c r="BC214" s="109">
        <v>42.18</v>
      </c>
      <c r="BD214" s="109">
        <v>32</v>
      </c>
      <c r="BE214" s="109">
        <v>25.86</v>
      </c>
      <c r="BF214" s="109">
        <v>41.18</v>
      </c>
      <c r="BG214" s="109">
        <v>31.32</v>
      </c>
      <c r="BH214" s="109">
        <v>26.6</v>
      </c>
      <c r="BI214" s="109">
        <v>42.09</v>
      </c>
      <c r="BJ214" s="109">
        <v>32.22</v>
      </c>
      <c r="BK214" s="109">
        <v>26.11</v>
      </c>
      <c r="BL214" s="109">
        <v>40.68</v>
      </c>
      <c r="BM214" s="109">
        <v>36.32</v>
      </c>
      <c r="BN214" s="109">
        <v>28.15</v>
      </c>
      <c r="BP214" s="131">
        <v>0</v>
      </c>
      <c r="BQ214" s="131">
        <v>70</v>
      </c>
      <c r="BR214" s="131">
        <v>100</v>
      </c>
      <c r="BS214" s="131">
        <v>40</v>
      </c>
      <c r="BT214" s="130">
        <f t="shared" si="380"/>
        <v>0</v>
      </c>
      <c r="BU214" s="130">
        <f t="shared" si="381"/>
        <v>1</v>
      </c>
      <c r="BV214" s="130">
        <f t="shared" ca="1" si="382"/>
        <v>0</v>
      </c>
      <c r="BW214" s="130">
        <f t="shared" ca="1" si="383"/>
        <v>1.9006397770843069</v>
      </c>
      <c r="BX214" s="109" t="str">
        <f t="shared" si="379"/>
        <v>C0M70Y100K40</v>
      </c>
      <c r="BZ214" s="109">
        <v>46.41</v>
      </c>
      <c r="CA214" s="109">
        <v>21.39</v>
      </c>
      <c r="CB214" s="109">
        <v>18.96</v>
      </c>
      <c r="CC214" s="109">
        <v>43.61</v>
      </c>
      <c r="CD214" s="109">
        <v>25.06</v>
      </c>
      <c r="CE214" s="109">
        <v>22.8</v>
      </c>
      <c r="CF214" s="109">
        <v>47</v>
      </c>
      <c r="CG214" s="109">
        <v>21.29</v>
      </c>
      <c r="CH214" s="109">
        <v>20.05</v>
      </c>
      <c r="CI214" s="109">
        <v>39.08</v>
      </c>
      <c r="CJ214" s="109">
        <v>29.96</v>
      </c>
      <c r="CK214" s="109">
        <v>30.61</v>
      </c>
      <c r="CL214" s="109">
        <v>41.96</v>
      </c>
      <c r="CM214" s="109">
        <v>31.42</v>
      </c>
      <c r="CN214" s="109">
        <v>38.299999999999997</v>
      </c>
      <c r="CO214" s="109">
        <v>40.96</v>
      </c>
      <c r="CP214" s="109">
        <v>30.75</v>
      </c>
      <c r="CQ214" s="109">
        <v>38.29</v>
      </c>
      <c r="CR214" s="109">
        <v>41.43</v>
      </c>
      <c r="CS214" s="109">
        <v>31.24</v>
      </c>
      <c r="CT214" s="109">
        <v>39.229999999999997</v>
      </c>
      <c r="CU214" s="109">
        <v>39.74</v>
      </c>
      <c r="CV214" s="109">
        <v>35.68</v>
      </c>
      <c r="CW214" s="109">
        <v>44.28</v>
      </c>
      <c r="CX214" s="111"/>
      <c r="CY214" s="111"/>
      <c r="CZ214" s="111"/>
      <c r="DA214" s="111"/>
      <c r="DB214" s="111"/>
      <c r="DC214" s="111"/>
      <c r="DD214" s="111"/>
      <c r="DE214" s="111"/>
      <c r="DF214" s="111"/>
    </row>
    <row r="215" spans="2:110">
      <c r="B215" s="7"/>
      <c r="C215" s="7"/>
      <c r="D215" s="7"/>
      <c r="E215" s="7"/>
      <c r="F215" s="7"/>
      <c r="G215" s="7"/>
      <c r="H215" s="7"/>
      <c r="I215" s="7"/>
      <c r="J215" s="7"/>
      <c r="K215" s="7"/>
      <c r="L215" s="7"/>
      <c r="M215" s="7"/>
      <c r="N215" s="7"/>
      <c r="O215" s="7"/>
      <c r="P215" s="7"/>
      <c r="Q215" s="7"/>
      <c r="R215" s="64"/>
      <c r="S215" s="64"/>
      <c r="T215" s="64"/>
      <c r="U215" s="64"/>
      <c r="V215" s="64"/>
      <c r="W215" s="64"/>
      <c r="X215" s="64"/>
      <c r="Y215" s="64"/>
      <c r="Z215" s="64"/>
      <c r="AA215" s="64"/>
      <c r="AB215" s="64"/>
      <c r="AC215" s="64"/>
      <c r="AD215"/>
      <c r="AE215" s="134"/>
      <c r="AF215" s="134"/>
      <c r="AG215" s="131">
        <v>70</v>
      </c>
      <c r="AH215" s="131">
        <v>0</v>
      </c>
      <c r="AI215" s="131">
        <v>40</v>
      </c>
      <c r="AJ215" s="131">
        <v>40</v>
      </c>
      <c r="AK215" s="130">
        <f t="shared" ca="1" si="373"/>
        <v>0</v>
      </c>
      <c r="AL215" s="130">
        <f t="shared" ca="1" si="376"/>
        <v>0</v>
      </c>
      <c r="AM215" s="130">
        <f t="shared" ca="1" si="377"/>
        <v>0</v>
      </c>
      <c r="AN215" s="130">
        <f t="shared" ca="1" si="375"/>
        <v>0</v>
      </c>
      <c r="AO215" s="109" t="str">
        <f t="shared" si="378"/>
        <v>C70M0Y40K40</v>
      </c>
      <c r="AQ215" s="109">
        <v>47.87</v>
      </c>
      <c r="AR215" s="109">
        <v>-16.09</v>
      </c>
      <c r="AS215" s="109">
        <v>3.43</v>
      </c>
      <c r="AT215" s="109">
        <v>46.36</v>
      </c>
      <c r="AU215" s="109">
        <v>-18.03</v>
      </c>
      <c r="AV215" s="109">
        <v>0.12</v>
      </c>
      <c r="AW215" s="109">
        <v>51.06</v>
      </c>
      <c r="AX215" s="109">
        <v>-17.8</v>
      </c>
      <c r="AY215" s="109">
        <v>-2.94</v>
      </c>
      <c r="AZ215" s="109">
        <v>43.96</v>
      </c>
      <c r="BA215" s="109">
        <v>-22.89</v>
      </c>
      <c r="BB215" s="109">
        <v>0.09</v>
      </c>
      <c r="BC215" s="109">
        <v>46.86</v>
      </c>
      <c r="BD215" s="109">
        <v>-25.03</v>
      </c>
      <c r="BE215" s="109">
        <v>-2.5499999999999998</v>
      </c>
      <c r="BF215" s="109">
        <v>45.76</v>
      </c>
      <c r="BG215" s="109">
        <v>-24.49</v>
      </c>
      <c r="BH215" s="109">
        <v>-0.21</v>
      </c>
      <c r="BI215" s="109">
        <v>46.46</v>
      </c>
      <c r="BJ215" s="109">
        <v>-26.27</v>
      </c>
      <c r="BK215" s="109">
        <v>-4.2699999999999996</v>
      </c>
      <c r="BL215" s="109">
        <v>46.19</v>
      </c>
      <c r="BM215" s="109">
        <v>-28.46</v>
      </c>
      <c r="BN215" s="109">
        <v>-3.9</v>
      </c>
      <c r="BP215" s="131">
        <v>0</v>
      </c>
      <c r="BQ215" s="131">
        <v>75</v>
      </c>
      <c r="BR215" s="131">
        <v>0</v>
      </c>
      <c r="BS215" s="131">
        <v>0</v>
      </c>
      <c r="BT215" s="130">
        <f t="shared" si="380"/>
        <v>0</v>
      </c>
      <c r="BU215" s="130">
        <f t="shared" si="381"/>
        <v>1</v>
      </c>
      <c r="BV215" s="130">
        <f t="shared" ca="1" si="382"/>
        <v>0</v>
      </c>
      <c r="BW215" s="130">
        <f t="shared" ca="1" si="383"/>
        <v>1.9880814526000008</v>
      </c>
      <c r="BX215" s="109" t="str">
        <f t="shared" si="379"/>
        <v>C0M75Y0K0</v>
      </c>
      <c r="BZ215" s="109">
        <v>59.2</v>
      </c>
      <c r="CA215" s="109">
        <v>41.96</v>
      </c>
      <c r="CB215" s="109">
        <v>-0.74</v>
      </c>
      <c r="CC215" s="109">
        <v>57.68</v>
      </c>
      <c r="CD215" s="109">
        <v>46.76</v>
      </c>
      <c r="CE215" s="109">
        <v>-3.21</v>
      </c>
      <c r="CF215" s="109">
        <v>62.4</v>
      </c>
      <c r="CG215" s="109">
        <v>50.2</v>
      </c>
      <c r="CH215" s="109">
        <v>-4.1100000000000003</v>
      </c>
      <c r="CI215" s="109">
        <v>54.41</v>
      </c>
      <c r="CJ215" s="109">
        <v>52.6</v>
      </c>
      <c r="CK215" s="109">
        <v>-4.34</v>
      </c>
      <c r="CL215" s="109">
        <v>56.73</v>
      </c>
      <c r="CM215" s="109">
        <v>54.07</v>
      </c>
      <c r="CN215" s="109">
        <v>-4.63</v>
      </c>
      <c r="CO215" s="109">
        <v>55.42</v>
      </c>
      <c r="CP215" s="109">
        <v>52.99</v>
      </c>
      <c r="CQ215" s="109">
        <v>-1.8</v>
      </c>
      <c r="CR215" s="109">
        <v>57.52</v>
      </c>
      <c r="CS215" s="109">
        <v>57.16</v>
      </c>
      <c r="CT215" s="109">
        <v>-6.36</v>
      </c>
      <c r="CU215" s="109">
        <v>57.44</v>
      </c>
      <c r="CV215" s="109">
        <v>60.47</v>
      </c>
      <c r="CW215" s="109">
        <v>-11.57</v>
      </c>
      <c r="CX215" s="111"/>
      <c r="CY215" s="111"/>
      <c r="CZ215" s="111"/>
      <c r="DA215" s="111"/>
      <c r="DB215" s="111"/>
      <c r="DC215" s="111"/>
      <c r="DD215" s="111"/>
      <c r="DE215" s="111"/>
      <c r="DF215" s="111"/>
    </row>
    <row r="216" spans="2:110">
      <c r="B216" s="7"/>
      <c r="C216" s="7"/>
      <c r="D216" s="7"/>
      <c r="E216" s="7"/>
      <c r="F216" s="7"/>
      <c r="G216" s="7"/>
      <c r="H216" s="7"/>
      <c r="I216" s="7"/>
      <c r="J216" s="7"/>
      <c r="K216" s="7"/>
      <c r="L216" s="7"/>
      <c r="M216" s="7"/>
      <c r="N216" s="7"/>
      <c r="O216" s="7"/>
      <c r="P216" s="7"/>
      <c r="Q216" s="7"/>
      <c r="R216" s="64"/>
      <c r="S216" s="64"/>
      <c r="T216" s="64"/>
      <c r="U216" s="64"/>
      <c r="V216" s="64"/>
      <c r="W216" s="64"/>
      <c r="X216" s="64"/>
      <c r="Y216" s="64"/>
      <c r="Z216" s="64"/>
      <c r="AA216" s="64"/>
      <c r="AB216" s="64"/>
      <c r="AC216" s="64"/>
      <c r="AD216"/>
      <c r="AE216" s="134"/>
      <c r="AF216" s="134"/>
      <c r="AG216" s="131">
        <v>0</v>
      </c>
      <c r="AH216" s="131">
        <v>0</v>
      </c>
      <c r="AI216" s="131">
        <v>0</v>
      </c>
      <c r="AJ216" s="131">
        <v>0</v>
      </c>
      <c r="AK216" s="130">
        <f t="shared" ca="1" si="373"/>
        <v>0</v>
      </c>
      <c r="AL216" s="130">
        <f t="shared" ca="1" si="376"/>
        <v>0</v>
      </c>
      <c r="AM216" s="130">
        <f t="shared" ca="1" si="377"/>
        <v>0</v>
      </c>
      <c r="AN216" s="130">
        <f t="shared" ca="1" si="375"/>
        <v>0</v>
      </c>
      <c r="AO216" s="109" t="str">
        <f t="shared" si="378"/>
        <v>C0M0Y0K0</v>
      </c>
      <c r="AQ216" s="109">
        <v>85</v>
      </c>
      <c r="AR216" s="109">
        <v>1</v>
      </c>
      <c r="AS216" s="109">
        <v>5</v>
      </c>
      <c r="AT216" s="109">
        <v>87</v>
      </c>
      <c r="AU216" s="109">
        <v>0</v>
      </c>
      <c r="AV216" s="109">
        <v>3</v>
      </c>
      <c r="AW216" s="109">
        <v>95</v>
      </c>
      <c r="AX216" s="109">
        <v>1</v>
      </c>
      <c r="AY216" s="109">
        <v>-4</v>
      </c>
      <c r="AZ216" s="109">
        <v>89</v>
      </c>
      <c r="BA216" s="109">
        <v>0</v>
      </c>
      <c r="BB216" s="109">
        <v>3</v>
      </c>
      <c r="BC216" s="109">
        <v>92</v>
      </c>
      <c r="BD216" s="109">
        <v>0</v>
      </c>
      <c r="BE216" s="109">
        <v>0</v>
      </c>
      <c r="BF216" s="109">
        <v>90</v>
      </c>
      <c r="BG216" s="109">
        <v>0</v>
      </c>
      <c r="BH216" s="109">
        <v>4</v>
      </c>
      <c r="BI216" s="109">
        <v>95</v>
      </c>
      <c r="BJ216" s="109">
        <v>1</v>
      </c>
      <c r="BK216" s="109">
        <v>-4</v>
      </c>
      <c r="BL216" s="109">
        <v>97</v>
      </c>
      <c r="BM216" s="109">
        <v>1</v>
      </c>
      <c r="BN216" s="109">
        <v>-4</v>
      </c>
      <c r="BP216" s="131">
        <v>0</v>
      </c>
      <c r="BQ216" s="131">
        <v>100</v>
      </c>
      <c r="BR216" s="131">
        <v>100</v>
      </c>
      <c r="BS216" s="131">
        <v>0</v>
      </c>
      <c r="BT216" s="130">
        <f t="shared" si="380"/>
        <v>0</v>
      </c>
      <c r="BU216" s="130">
        <f t="shared" si="381"/>
        <v>1</v>
      </c>
      <c r="BV216" s="130">
        <f t="shared" ca="1" si="382"/>
        <v>0</v>
      </c>
      <c r="BW216" s="130">
        <f t="shared" ca="1" si="383"/>
        <v>1.9985592989611143</v>
      </c>
      <c r="BX216" s="109" t="str">
        <f t="shared" si="379"/>
        <v>C0M100Y100K0</v>
      </c>
      <c r="BZ216" s="109">
        <v>54</v>
      </c>
      <c r="CA216" s="109">
        <v>44</v>
      </c>
      <c r="CB216" s="109">
        <v>25</v>
      </c>
      <c r="CC216" s="109">
        <v>51</v>
      </c>
      <c r="CD216" s="109">
        <v>55</v>
      </c>
      <c r="CE216" s="109">
        <v>32</v>
      </c>
      <c r="CF216" s="109">
        <v>54</v>
      </c>
      <c r="CG216" s="109">
        <v>56</v>
      </c>
      <c r="CH216" s="109">
        <v>28</v>
      </c>
      <c r="CI216" s="109">
        <v>46</v>
      </c>
      <c r="CJ216" s="109">
        <v>62</v>
      </c>
      <c r="CK216" s="109">
        <v>39</v>
      </c>
      <c r="CL216" s="109">
        <v>48</v>
      </c>
      <c r="CM216" s="109">
        <v>65</v>
      </c>
      <c r="CN216" s="109">
        <v>45</v>
      </c>
      <c r="CO216" s="109">
        <v>46.87</v>
      </c>
      <c r="CP216" s="109">
        <v>63.67</v>
      </c>
      <c r="CQ216" s="109">
        <v>45</v>
      </c>
      <c r="CR216" s="109">
        <v>47</v>
      </c>
      <c r="CS216" s="109">
        <v>68</v>
      </c>
      <c r="CT216" s="109">
        <v>48</v>
      </c>
      <c r="CU216" s="109">
        <v>47</v>
      </c>
      <c r="CV216" s="109">
        <v>75</v>
      </c>
      <c r="CW216" s="109">
        <v>54</v>
      </c>
      <c r="CX216" s="111"/>
      <c r="CY216" s="111"/>
      <c r="CZ216" s="111"/>
      <c r="DA216" s="111"/>
      <c r="DB216" s="111"/>
      <c r="DC216" s="111"/>
      <c r="DD216" s="111"/>
      <c r="DE216" s="111"/>
      <c r="DF216" s="111"/>
    </row>
    <row r="217" spans="2:110">
      <c r="B217" s="7"/>
      <c r="C217" s="7"/>
      <c r="D217" s="7"/>
      <c r="E217" s="7"/>
      <c r="F217" s="7"/>
      <c r="G217" s="7"/>
      <c r="H217" s="7"/>
      <c r="I217" s="7"/>
      <c r="J217" s="7"/>
      <c r="K217" s="7"/>
      <c r="L217" s="7"/>
      <c r="M217" s="7"/>
      <c r="N217" s="7"/>
      <c r="O217" s="7"/>
      <c r="P217" s="7"/>
      <c r="Q217" s="7"/>
      <c r="R217" s="64"/>
      <c r="S217" s="64"/>
      <c r="T217" s="64"/>
      <c r="U217" s="64"/>
      <c r="V217" s="64"/>
      <c r="W217" s="64"/>
      <c r="X217" s="64"/>
      <c r="Y217" s="64"/>
      <c r="Z217" s="64"/>
      <c r="AA217" s="64"/>
      <c r="AB217" s="64"/>
      <c r="AC217" s="64"/>
      <c r="AD217"/>
      <c r="AE217" s="134"/>
      <c r="AF217" s="134"/>
      <c r="AG217" s="131">
        <v>3.1</v>
      </c>
      <c r="AH217" s="131">
        <v>2.2000000000000002</v>
      </c>
      <c r="AI217" s="131">
        <v>2.2000000000000002</v>
      </c>
      <c r="AJ217" s="131">
        <v>0</v>
      </c>
      <c r="AK217" s="130">
        <f t="shared" ca="1" si="373"/>
        <v>0</v>
      </c>
      <c r="AL217" s="130">
        <f t="shared" ca="1" si="376"/>
        <v>0</v>
      </c>
      <c r="AM217" s="130">
        <f t="shared" ca="1" si="377"/>
        <v>0</v>
      </c>
      <c r="AN217" s="130">
        <f t="shared" ca="1" si="375"/>
        <v>0</v>
      </c>
      <c r="AO217" s="109" t="str">
        <f t="shared" si="378"/>
        <v>C3M2Y2K0</v>
      </c>
      <c r="AQ217" s="109">
        <v>82.54</v>
      </c>
      <c r="AR217" s="109">
        <v>1.0900000000000001</v>
      </c>
      <c r="AS217" s="109">
        <v>4.79</v>
      </c>
      <c r="AT217" s="109">
        <v>84.66</v>
      </c>
      <c r="AU217" s="109">
        <v>0.13</v>
      </c>
      <c r="AV217" s="109">
        <v>2.82</v>
      </c>
      <c r="AW217" s="109">
        <v>92.45</v>
      </c>
      <c r="AX217" s="109">
        <v>1.0900000000000001</v>
      </c>
      <c r="AY217" s="109">
        <v>-3.81</v>
      </c>
      <c r="AZ217" s="109">
        <v>86.52</v>
      </c>
      <c r="BA217" s="109">
        <v>0.08</v>
      </c>
      <c r="BB217" s="109">
        <v>2.79</v>
      </c>
      <c r="BC217" s="109">
        <v>89.61</v>
      </c>
      <c r="BD217" s="109">
        <v>0.17</v>
      </c>
      <c r="BE217" s="109">
        <v>-0.01</v>
      </c>
      <c r="BF217" s="109">
        <v>87.66</v>
      </c>
      <c r="BG217" s="109">
        <v>0.17</v>
      </c>
      <c r="BH217" s="109">
        <v>3.89</v>
      </c>
      <c r="BI217" s="109">
        <v>92.51</v>
      </c>
      <c r="BJ217" s="109">
        <v>1.1299999999999999</v>
      </c>
      <c r="BK217" s="109">
        <v>-3.91</v>
      </c>
      <c r="BL217" s="109">
        <v>94.49</v>
      </c>
      <c r="BM217" s="109">
        <v>1.1399999999999999</v>
      </c>
      <c r="BN217" s="109">
        <v>-4.01</v>
      </c>
      <c r="BP217" s="131">
        <v>70</v>
      </c>
      <c r="BQ217" s="131">
        <v>0</v>
      </c>
      <c r="BR217" s="131">
        <v>100</v>
      </c>
      <c r="BS217" s="131">
        <v>40</v>
      </c>
      <c r="BT217" s="130">
        <f t="shared" si="380"/>
        <v>0</v>
      </c>
      <c r="BU217" s="130">
        <f t="shared" si="381"/>
        <v>1</v>
      </c>
      <c r="BV217" s="130">
        <f t="shared" ca="1" si="382"/>
        <v>0</v>
      </c>
      <c r="BW217" s="130">
        <f t="shared" ca="1" si="383"/>
        <v>1.7465520712632041</v>
      </c>
      <c r="BX217" s="109" t="str">
        <f t="shared" si="379"/>
        <v>C70M0Y100K40</v>
      </c>
      <c r="BZ217" s="109">
        <v>46.91</v>
      </c>
      <c r="CA217" s="109">
        <v>-18.54</v>
      </c>
      <c r="CB217" s="109">
        <v>15.81</v>
      </c>
      <c r="CC217" s="109">
        <v>44.77</v>
      </c>
      <c r="CD217" s="109">
        <v>-21.13</v>
      </c>
      <c r="CE217" s="109">
        <v>18.71</v>
      </c>
      <c r="CF217" s="109">
        <v>48.42</v>
      </c>
      <c r="CG217" s="109">
        <v>-21.37</v>
      </c>
      <c r="CH217" s="109">
        <v>17.28</v>
      </c>
      <c r="CI217" s="109">
        <v>41.65</v>
      </c>
      <c r="CJ217" s="109">
        <v>-26.14</v>
      </c>
      <c r="CK217" s="109">
        <v>25.37</v>
      </c>
      <c r="CL217" s="109">
        <v>45.44</v>
      </c>
      <c r="CM217" s="109">
        <v>-30.1</v>
      </c>
      <c r="CN217" s="109">
        <v>30.07</v>
      </c>
      <c r="CO217" s="109">
        <v>44.37</v>
      </c>
      <c r="CP217" s="109">
        <v>-29.44</v>
      </c>
      <c r="CQ217" s="109">
        <v>30.77</v>
      </c>
      <c r="CR217" s="109">
        <v>44.75</v>
      </c>
      <c r="CS217" s="109">
        <v>-33.19</v>
      </c>
      <c r="CT217" s="109">
        <v>30.74</v>
      </c>
      <c r="CU217" s="109">
        <v>43.95</v>
      </c>
      <c r="CV217" s="109">
        <v>-36.299999999999997</v>
      </c>
      <c r="CW217" s="109">
        <v>34.9</v>
      </c>
      <c r="CX217" s="111"/>
      <c r="CY217" s="111"/>
      <c r="CZ217" s="111"/>
      <c r="DA217" s="111"/>
      <c r="DB217" s="111"/>
      <c r="DC217" s="111"/>
      <c r="DD217" s="111"/>
      <c r="DE217" s="111"/>
      <c r="DF217" s="111"/>
    </row>
    <row r="218" spans="2:110">
      <c r="B218" s="7"/>
      <c r="C218" s="7"/>
      <c r="D218" s="7"/>
      <c r="E218" s="7"/>
      <c r="F218" s="7"/>
      <c r="G218" s="7"/>
      <c r="H218" s="7"/>
      <c r="I218" s="7"/>
      <c r="J218" s="7"/>
      <c r="K218" s="7"/>
      <c r="L218" s="7"/>
      <c r="M218" s="7"/>
      <c r="N218" s="7"/>
      <c r="O218" s="7"/>
      <c r="P218" s="7"/>
      <c r="Q218" s="7"/>
      <c r="R218" s="64"/>
      <c r="S218" s="64"/>
      <c r="T218" s="64"/>
      <c r="U218" s="64"/>
      <c r="V218" s="64"/>
      <c r="W218" s="64"/>
      <c r="X218" s="64"/>
      <c r="Y218" s="64"/>
      <c r="Z218" s="64"/>
      <c r="AA218" s="64"/>
      <c r="AB218" s="64"/>
      <c r="AC218" s="64"/>
      <c r="AD218"/>
      <c r="AE218" s="134"/>
      <c r="AF218" s="134"/>
      <c r="AG218" s="131">
        <v>10.199999999999999</v>
      </c>
      <c r="AH218" s="131">
        <v>7.4</v>
      </c>
      <c r="AI218" s="131">
        <v>7.4</v>
      </c>
      <c r="AJ218" s="131">
        <v>0</v>
      </c>
      <c r="AK218" s="130">
        <f t="shared" ca="1" si="373"/>
        <v>0</v>
      </c>
      <c r="AL218" s="130">
        <f t="shared" ca="1" si="376"/>
        <v>0</v>
      </c>
      <c r="AM218" s="130">
        <f t="shared" ca="1" si="377"/>
        <v>0</v>
      </c>
      <c r="AN218" s="130">
        <f t="shared" ca="1" si="375"/>
        <v>0</v>
      </c>
      <c r="AO218" s="109" t="str">
        <f t="shared" si="378"/>
        <v>C10M7Y7K0</v>
      </c>
      <c r="AQ218" s="109">
        <v>77.47</v>
      </c>
      <c r="AR218" s="109">
        <v>0.98</v>
      </c>
      <c r="AS218" s="109">
        <v>4.46</v>
      </c>
      <c r="AT218" s="109">
        <v>79.41</v>
      </c>
      <c r="AU218" s="109">
        <v>0.1</v>
      </c>
      <c r="AV218" s="109">
        <v>2.62</v>
      </c>
      <c r="AW218" s="109">
        <v>86.82</v>
      </c>
      <c r="AX218" s="109">
        <v>0.98</v>
      </c>
      <c r="AY218" s="109">
        <v>-3.53</v>
      </c>
      <c r="AZ218" s="109">
        <v>81.2</v>
      </c>
      <c r="BA218" s="109">
        <v>0.04</v>
      </c>
      <c r="BB218" s="109">
        <v>2.61</v>
      </c>
      <c r="BC218" s="109">
        <v>84.1</v>
      </c>
      <c r="BD218" s="109">
        <v>0.12</v>
      </c>
      <c r="BE218" s="109">
        <v>-0.02</v>
      </c>
      <c r="BF218" s="109">
        <v>82.25</v>
      </c>
      <c r="BG218" s="109">
        <v>0.12</v>
      </c>
      <c r="BH218" s="109">
        <v>3.68</v>
      </c>
      <c r="BI218" s="109">
        <v>86.86</v>
      </c>
      <c r="BJ218" s="109">
        <v>1.02</v>
      </c>
      <c r="BK218" s="109">
        <v>-3.61</v>
      </c>
      <c r="BL218" s="109">
        <v>88.72</v>
      </c>
      <c r="BM218" s="109">
        <v>1.02</v>
      </c>
      <c r="BN218" s="109">
        <v>-3.72</v>
      </c>
      <c r="BP218" s="131">
        <v>0</v>
      </c>
      <c r="BQ218" s="131">
        <v>50</v>
      </c>
      <c r="BR218" s="131">
        <v>0</v>
      </c>
      <c r="BS218" s="131">
        <v>0</v>
      </c>
      <c r="BT218" s="130">
        <f t="shared" si="380"/>
        <v>0</v>
      </c>
      <c r="BU218" s="130">
        <f t="shared" si="381"/>
        <v>1</v>
      </c>
      <c r="BV218" s="130">
        <f t="shared" ca="1" si="382"/>
        <v>0</v>
      </c>
      <c r="BW218" s="130">
        <f t="shared" ca="1" si="383"/>
        <v>1.8753360557686414</v>
      </c>
      <c r="BX218" s="109" t="str">
        <f t="shared" si="379"/>
        <v>C0M50Y0K0</v>
      </c>
      <c r="BZ218" s="109">
        <v>64.94</v>
      </c>
      <c r="CA218" s="109">
        <v>32.32</v>
      </c>
      <c r="CB218" s="109">
        <v>-0.64</v>
      </c>
      <c r="CC218" s="109">
        <v>66.150000000000006</v>
      </c>
      <c r="CD218" s="109">
        <v>31.8</v>
      </c>
      <c r="CE218" s="109">
        <v>-2.98</v>
      </c>
      <c r="CF218" s="109">
        <v>71.97</v>
      </c>
      <c r="CG218" s="109">
        <v>34.86</v>
      </c>
      <c r="CH218" s="109">
        <v>-5.55</v>
      </c>
      <c r="CI218" s="109">
        <v>64.959999999999994</v>
      </c>
      <c r="CJ218" s="109">
        <v>35</v>
      </c>
      <c r="CK218" s="109">
        <v>-4.1399999999999997</v>
      </c>
      <c r="CL218" s="109">
        <v>68.38</v>
      </c>
      <c r="CM218" s="109">
        <v>34.03</v>
      </c>
      <c r="CN218" s="109">
        <v>-4.22</v>
      </c>
      <c r="CO218" s="109">
        <v>66.84</v>
      </c>
      <c r="CP218" s="109">
        <v>33.36</v>
      </c>
      <c r="CQ218" s="109">
        <v>-0.95</v>
      </c>
      <c r="CR218" s="109">
        <v>70.069999999999993</v>
      </c>
      <c r="CS218" s="109">
        <v>35.979999999999997</v>
      </c>
      <c r="CT218" s="109">
        <v>-7.49</v>
      </c>
      <c r="CU218" s="109">
        <v>70.87</v>
      </c>
      <c r="CV218" s="109">
        <v>38.89</v>
      </c>
      <c r="CW218" s="109">
        <v>-11.36</v>
      </c>
      <c r="CX218" s="111"/>
      <c r="CY218" s="111"/>
      <c r="CZ218" s="111"/>
      <c r="DA218" s="111"/>
      <c r="DB218" s="111"/>
      <c r="DC218" s="111"/>
      <c r="DD218" s="111"/>
      <c r="DE218" s="111"/>
      <c r="DF218" s="111"/>
    </row>
    <row r="219" spans="2:110">
      <c r="B219" s="7"/>
      <c r="C219" s="7"/>
      <c r="D219" s="7"/>
      <c r="E219" s="7"/>
      <c r="F219" s="7"/>
      <c r="G219" s="7"/>
      <c r="H219" s="7"/>
      <c r="I219" s="7"/>
      <c r="J219" s="7"/>
      <c r="K219" s="7"/>
      <c r="L219" s="7"/>
      <c r="M219" s="7"/>
      <c r="N219" s="7"/>
      <c r="O219" s="7"/>
      <c r="P219" s="7"/>
      <c r="Q219" s="7"/>
      <c r="R219" s="64"/>
      <c r="S219" s="64"/>
      <c r="T219" s="64"/>
      <c r="U219" s="64"/>
      <c r="V219" s="64"/>
      <c r="W219" s="64"/>
      <c r="X219" s="64"/>
      <c r="Y219" s="64"/>
      <c r="Z219" s="64"/>
      <c r="AA219" s="64"/>
      <c r="AB219" s="64"/>
      <c r="AC219" s="64"/>
      <c r="AD219"/>
      <c r="AE219" s="134"/>
      <c r="AF219" s="134"/>
      <c r="AG219" s="131">
        <v>25</v>
      </c>
      <c r="AH219" s="131">
        <v>19</v>
      </c>
      <c r="AI219" s="131">
        <v>19</v>
      </c>
      <c r="AJ219" s="131">
        <v>0</v>
      </c>
      <c r="AK219" s="130">
        <f t="shared" ca="1" si="373"/>
        <v>0</v>
      </c>
      <c r="AL219" s="130">
        <f t="shared" ca="1" si="376"/>
        <v>0</v>
      </c>
      <c r="AM219" s="130">
        <f t="shared" ca="1" si="377"/>
        <v>0</v>
      </c>
      <c r="AN219" s="130">
        <f t="shared" ca="1" si="375"/>
        <v>0</v>
      </c>
      <c r="AO219" s="109" t="str">
        <f t="shared" si="378"/>
        <v>C25M19Y19K0</v>
      </c>
      <c r="AQ219" s="109">
        <v>67.64</v>
      </c>
      <c r="AR219" s="109">
        <v>0.82</v>
      </c>
      <c r="AS219" s="109">
        <v>3.77</v>
      </c>
      <c r="AT219" s="109">
        <v>68.92</v>
      </c>
      <c r="AU219" s="109">
        <v>0.15</v>
      </c>
      <c r="AV219" s="109">
        <v>2.2599999999999998</v>
      </c>
      <c r="AW219" s="109">
        <v>75.44</v>
      </c>
      <c r="AX219" s="109">
        <v>0.88</v>
      </c>
      <c r="AY219" s="109">
        <v>-2.82</v>
      </c>
      <c r="AZ219" s="109">
        <v>70.44</v>
      </c>
      <c r="BA219" s="109">
        <v>0.15</v>
      </c>
      <c r="BB219" s="109">
        <v>2.3199999999999998</v>
      </c>
      <c r="BC219" s="109">
        <v>72.95</v>
      </c>
      <c r="BD219" s="109">
        <v>0.09</v>
      </c>
      <c r="BE219" s="109">
        <v>0.11</v>
      </c>
      <c r="BF219" s="109">
        <v>71.319999999999993</v>
      </c>
      <c r="BG219" s="109">
        <v>0.09</v>
      </c>
      <c r="BH219" s="109">
        <v>3.38</v>
      </c>
      <c r="BI219" s="109">
        <v>75.400000000000006</v>
      </c>
      <c r="BJ219" s="109">
        <v>0.84</v>
      </c>
      <c r="BK219" s="109">
        <v>-2.81</v>
      </c>
      <c r="BL219" s="109">
        <v>77.06</v>
      </c>
      <c r="BM219" s="109">
        <v>0.86</v>
      </c>
      <c r="BN219" s="109">
        <v>-2.89</v>
      </c>
      <c r="BP219" s="131">
        <v>0</v>
      </c>
      <c r="BQ219" s="131">
        <v>75</v>
      </c>
      <c r="BR219" s="131">
        <v>75</v>
      </c>
      <c r="BS219" s="131">
        <v>0</v>
      </c>
      <c r="BT219" s="130">
        <f t="shared" si="380"/>
        <v>0</v>
      </c>
      <c r="BU219" s="130">
        <f t="shared" si="381"/>
        <v>1</v>
      </c>
      <c r="BV219" s="130">
        <f t="shared" ca="1" si="382"/>
        <v>0</v>
      </c>
      <c r="BW219" s="130">
        <f t="shared" ca="1" si="383"/>
        <v>1.9949132321970435</v>
      </c>
      <c r="BX219" s="109" t="str">
        <f t="shared" si="379"/>
        <v>C0M75Y75K0</v>
      </c>
      <c r="BZ219" s="109">
        <v>57.11</v>
      </c>
      <c r="CA219" s="109">
        <v>38.04</v>
      </c>
      <c r="CB219" s="109">
        <v>24.61</v>
      </c>
      <c r="CC219" s="109">
        <v>56.66</v>
      </c>
      <c r="CD219" s="109">
        <v>44.43</v>
      </c>
      <c r="CE219" s="109">
        <v>29.05</v>
      </c>
      <c r="CF219" s="109">
        <v>59.88</v>
      </c>
      <c r="CG219" s="109">
        <v>45.27</v>
      </c>
      <c r="CH219" s="109">
        <v>25.46</v>
      </c>
      <c r="CI219" s="109">
        <v>53.1</v>
      </c>
      <c r="CJ219" s="109">
        <v>49.84</v>
      </c>
      <c r="CK219" s="109">
        <v>35.520000000000003</v>
      </c>
      <c r="CL219" s="109">
        <v>56.58</v>
      </c>
      <c r="CM219" s="109">
        <v>50.07</v>
      </c>
      <c r="CN219" s="109">
        <v>39.020000000000003</v>
      </c>
      <c r="CO219" s="109">
        <v>55.28</v>
      </c>
      <c r="CP219" s="109">
        <v>49.06</v>
      </c>
      <c r="CQ219" s="109">
        <v>39.86</v>
      </c>
      <c r="CR219" s="109">
        <v>56.63</v>
      </c>
      <c r="CS219" s="109">
        <v>51.86</v>
      </c>
      <c r="CT219" s="109">
        <v>40.19</v>
      </c>
      <c r="CU219" s="109">
        <v>56.66</v>
      </c>
      <c r="CV219" s="109">
        <v>57.43</v>
      </c>
      <c r="CW219" s="109">
        <v>42.94</v>
      </c>
      <c r="CX219" s="111"/>
      <c r="CY219" s="111"/>
      <c r="CZ219" s="111"/>
      <c r="DA219" s="111"/>
      <c r="DB219" s="111"/>
      <c r="DC219" s="111"/>
      <c r="DD219" s="111"/>
      <c r="DE219" s="111"/>
      <c r="DF219" s="111"/>
    </row>
    <row r="220" spans="2:110">
      <c r="B220" s="7"/>
      <c r="C220" s="7"/>
      <c r="D220" s="7"/>
      <c r="E220" s="7"/>
      <c r="F220" s="7"/>
      <c r="G220" s="7"/>
      <c r="H220" s="7"/>
      <c r="I220" s="7"/>
      <c r="J220" s="7"/>
      <c r="K220" s="7"/>
      <c r="L220" s="7"/>
      <c r="M220" s="7"/>
      <c r="N220" s="7"/>
      <c r="O220" s="7"/>
      <c r="P220" s="7"/>
      <c r="Q220" s="7"/>
      <c r="R220" s="64"/>
      <c r="S220" s="64"/>
      <c r="T220" s="64"/>
      <c r="U220" s="64"/>
      <c r="V220" s="64"/>
      <c r="W220" s="64"/>
      <c r="X220" s="64"/>
      <c r="Y220" s="64"/>
      <c r="Z220" s="64"/>
      <c r="AA220" s="64"/>
      <c r="AB220" s="64"/>
      <c r="AC220" s="64"/>
      <c r="AD220"/>
      <c r="AE220" s="134"/>
      <c r="AF220" s="134"/>
      <c r="AG220" s="131">
        <v>50</v>
      </c>
      <c r="AH220" s="131">
        <v>40</v>
      </c>
      <c r="AI220" s="131">
        <v>40</v>
      </c>
      <c r="AJ220" s="131">
        <v>0</v>
      </c>
      <c r="AK220" s="130">
        <f t="shared" ca="1" si="373"/>
        <v>0</v>
      </c>
      <c r="AL220" s="130">
        <f t="shared" ca="1" si="376"/>
        <v>0</v>
      </c>
      <c r="AM220" s="130">
        <f t="shared" ca="1" si="377"/>
        <v>0</v>
      </c>
      <c r="AN220" s="130">
        <f t="shared" ca="1" si="375"/>
        <v>0</v>
      </c>
      <c r="AO220" s="109" t="str">
        <f t="shared" si="378"/>
        <v>C50M40Y40K0</v>
      </c>
      <c r="AQ220" s="109">
        <v>55.18</v>
      </c>
      <c r="AR220" s="109">
        <v>0.47</v>
      </c>
      <c r="AS220" s="109">
        <v>2.5</v>
      </c>
      <c r="AT220" s="109">
        <v>54.06</v>
      </c>
      <c r="AU220" s="109">
        <v>-0.02</v>
      </c>
      <c r="AV220" s="109">
        <v>1.35</v>
      </c>
      <c r="AW220" s="109">
        <v>59.13</v>
      </c>
      <c r="AX220" s="109">
        <v>0.46</v>
      </c>
      <c r="AY220" s="109">
        <v>-2.02</v>
      </c>
      <c r="AZ220" s="109">
        <v>54.26</v>
      </c>
      <c r="BA220" s="109">
        <v>-0.11</v>
      </c>
      <c r="BB220" s="109">
        <v>1.45</v>
      </c>
      <c r="BC220" s="109">
        <v>55.83</v>
      </c>
      <c r="BD220" s="109">
        <v>-0.14000000000000001</v>
      </c>
      <c r="BE220" s="109">
        <v>-0.04</v>
      </c>
      <c r="BF220" s="109">
        <v>54.54</v>
      </c>
      <c r="BG220" s="109">
        <v>-0.14000000000000001</v>
      </c>
      <c r="BH220" s="109">
        <v>2.5499999999999998</v>
      </c>
      <c r="BI220" s="109">
        <v>57.46</v>
      </c>
      <c r="BJ220" s="109">
        <v>0.38</v>
      </c>
      <c r="BK220" s="109">
        <v>-2.0299999999999998</v>
      </c>
      <c r="BL220" s="109">
        <v>58.15</v>
      </c>
      <c r="BM220" s="109">
        <v>0.41</v>
      </c>
      <c r="BN220" s="109">
        <v>-2.08</v>
      </c>
      <c r="BP220" s="131">
        <v>100</v>
      </c>
      <c r="BQ220" s="131">
        <v>0</v>
      </c>
      <c r="BR220" s="131">
        <v>100</v>
      </c>
      <c r="BS220" s="131">
        <v>40</v>
      </c>
      <c r="BT220" s="130">
        <f t="shared" si="380"/>
        <v>0</v>
      </c>
      <c r="BU220" s="130">
        <f t="shared" si="381"/>
        <v>1</v>
      </c>
      <c r="BV220" s="130">
        <f t="shared" ca="1" si="382"/>
        <v>0</v>
      </c>
      <c r="BW220" s="130">
        <f t="shared" ca="1" si="383"/>
        <v>1.8141283802538868</v>
      </c>
      <c r="BX220" s="109" t="str">
        <f t="shared" si="379"/>
        <v>C100M0Y100K40</v>
      </c>
      <c r="BZ220" s="109">
        <v>44.18</v>
      </c>
      <c r="CA220" s="109">
        <v>-22</v>
      </c>
      <c r="CB220" s="109">
        <v>11.7</v>
      </c>
      <c r="CC220" s="109">
        <v>40.83</v>
      </c>
      <c r="CD220" s="109">
        <v>-27.24</v>
      </c>
      <c r="CE220" s="109">
        <v>11.4</v>
      </c>
      <c r="CF220" s="109">
        <v>44.14</v>
      </c>
      <c r="CG220" s="109">
        <v>-26.21</v>
      </c>
      <c r="CH220" s="109">
        <v>10.6</v>
      </c>
      <c r="CI220" s="109">
        <v>36.36</v>
      </c>
      <c r="CJ220" s="109">
        <v>-35.840000000000003</v>
      </c>
      <c r="CK220" s="109">
        <v>16.04</v>
      </c>
      <c r="CL220" s="109">
        <v>39.4</v>
      </c>
      <c r="CM220" s="109">
        <v>-42.7</v>
      </c>
      <c r="CN220" s="109">
        <v>18.95</v>
      </c>
      <c r="CO220" s="109">
        <v>38.46</v>
      </c>
      <c r="CP220" s="109">
        <v>-41.69</v>
      </c>
      <c r="CQ220" s="109">
        <v>19.91</v>
      </c>
      <c r="CR220" s="109">
        <v>37.9</v>
      </c>
      <c r="CS220" s="109">
        <v>-46.57</v>
      </c>
      <c r="CT220" s="109">
        <v>18.61</v>
      </c>
      <c r="CU220" s="109">
        <v>36.19</v>
      </c>
      <c r="CV220" s="109">
        <v>-52.94</v>
      </c>
      <c r="CW220" s="109">
        <v>19.829999999999998</v>
      </c>
      <c r="CX220" s="111"/>
      <c r="CY220" s="111"/>
      <c r="CZ220" s="111"/>
      <c r="DA220" s="111"/>
      <c r="DB220" s="111"/>
      <c r="DC220" s="111"/>
      <c r="DD220" s="111"/>
      <c r="DE220" s="111"/>
      <c r="DF220" s="111"/>
    </row>
    <row r="221" spans="2:110">
      <c r="B221" s="7"/>
      <c r="C221" s="7"/>
      <c r="D221" s="7"/>
      <c r="E221" s="7"/>
      <c r="F221" s="7"/>
      <c r="G221" s="7"/>
      <c r="H221" s="7"/>
      <c r="I221" s="7"/>
      <c r="J221" s="7"/>
      <c r="K221" s="7"/>
      <c r="L221" s="7"/>
      <c r="M221" s="7"/>
      <c r="N221" s="7"/>
      <c r="O221" s="7"/>
      <c r="P221" s="7"/>
      <c r="Q221" s="7"/>
      <c r="R221" s="64"/>
      <c r="S221" s="64"/>
      <c r="T221" s="64"/>
      <c r="U221" s="64"/>
      <c r="V221" s="64"/>
      <c r="W221" s="64"/>
      <c r="X221" s="64"/>
      <c r="Y221" s="64"/>
      <c r="Z221" s="64"/>
      <c r="AA221" s="64"/>
      <c r="AB221" s="64"/>
      <c r="AC221" s="64"/>
      <c r="AD221"/>
      <c r="AE221" s="134"/>
      <c r="AF221" s="134"/>
      <c r="AG221" s="131">
        <v>75</v>
      </c>
      <c r="AH221" s="131">
        <v>66</v>
      </c>
      <c r="AI221" s="131">
        <v>66</v>
      </c>
      <c r="AJ221" s="131">
        <v>0</v>
      </c>
      <c r="AK221" s="130">
        <f t="shared" ca="1" si="373"/>
        <v>0</v>
      </c>
      <c r="AL221" s="130">
        <f t="shared" ca="1" si="376"/>
        <v>0</v>
      </c>
      <c r="AM221" s="130">
        <f t="shared" ca="1" si="377"/>
        <v>0</v>
      </c>
      <c r="AN221" s="130">
        <f t="shared" ca="1" si="375"/>
        <v>0</v>
      </c>
      <c r="AO221" s="109" t="str">
        <f t="shared" si="378"/>
        <v>C75M66Y66K0</v>
      </c>
      <c r="AQ221" s="109">
        <v>45.61</v>
      </c>
      <c r="AR221" s="109">
        <v>0.2</v>
      </c>
      <c r="AS221" s="109">
        <v>1.43</v>
      </c>
      <c r="AT221" s="109">
        <v>41.17</v>
      </c>
      <c r="AU221" s="109">
        <v>0.52</v>
      </c>
      <c r="AV221" s="109">
        <v>-0.04</v>
      </c>
      <c r="AW221" s="109">
        <v>44.58</v>
      </c>
      <c r="AX221" s="109">
        <v>-7.0000000000000007E-2</v>
      </c>
      <c r="AY221" s="109">
        <v>-0.88</v>
      </c>
      <c r="AZ221" s="109">
        <v>39.049999999999997</v>
      </c>
      <c r="BA221" s="109">
        <v>-0.13</v>
      </c>
      <c r="BB221" s="109">
        <v>0.91</v>
      </c>
      <c r="BC221" s="109">
        <v>39.11</v>
      </c>
      <c r="BD221" s="109">
        <v>0.45</v>
      </c>
      <c r="BE221" s="109">
        <v>0.74</v>
      </c>
      <c r="BF221" s="109">
        <v>38.17</v>
      </c>
      <c r="BG221" s="109">
        <v>0.44</v>
      </c>
      <c r="BH221" s="109">
        <v>2.6</v>
      </c>
      <c r="BI221" s="109">
        <v>39.409999999999997</v>
      </c>
      <c r="BJ221" s="109">
        <v>0.21</v>
      </c>
      <c r="BK221" s="109">
        <v>-0.77</v>
      </c>
      <c r="BL221" s="109">
        <v>37.44</v>
      </c>
      <c r="BM221" s="109">
        <v>0.14000000000000001</v>
      </c>
      <c r="BN221" s="109">
        <v>-0.96</v>
      </c>
      <c r="BP221" s="131">
        <v>0</v>
      </c>
      <c r="BQ221" s="131">
        <v>25</v>
      </c>
      <c r="BR221" s="131">
        <v>0</v>
      </c>
      <c r="BS221" s="131">
        <v>0</v>
      </c>
      <c r="BT221" s="130">
        <f t="shared" si="380"/>
        <v>0</v>
      </c>
      <c r="BU221" s="130">
        <f t="shared" si="381"/>
        <v>1</v>
      </c>
      <c r="BV221" s="130">
        <f t="shared" ca="1" si="382"/>
        <v>0</v>
      </c>
      <c r="BW221" s="130">
        <f t="shared" ca="1" si="383"/>
        <v>1.185077255912</v>
      </c>
      <c r="BX221" s="109" t="str">
        <f t="shared" si="379"/>
        <v>C0M25Y0K0</v>
      </c>
      <c r="BZ221" s="109">
        <v>73.489999999999995</v>
      </c>
      <c r="CA221" s="109">
        <v>18.79</v>
      </c>
      <c r="CB221" s="109">
        <v>1.38</v>
      </c>
      <c r="CC221" s="109">
        <v>75.849999999999994</v>
      </c>
      <c r="CD221" s="109">
        <v>16.52</v>
      </c>
      <c r="CE221" s="109">
        <v>-0.77</v>
      </c>
      <c r="CF221" s="109">
        <v>82.7</v>
      </c>
      <c r="CG221" s="109">
        <v>18.79</v>
      </c>
      <c r="CH221" s="109">
        <v>-5.3</v>
      </c>
      <c r="CI221" s="109">
        <v>76.33</v>
      </c>
      <c r="CJ221" s="109">
        <v>17.95</v>
      </c>
      <c r="CK221" s="109">
        <v>-1.46</v>
      </c>
      <c r="CL221" s="109">
        <v>80.150000000000006</v>
      </c>
      <c r="CM221" s="109">
        <v>16.309999999999999</v>
      </c>
      <c r="CN221" s="109">
        <v>-2.4900000000000002</v>
      </c>
      <c r="CO221" s="109">
        <v>78.38</v>
      </c>
      <c r="CP221" s="109">
        <v>15.99</v>
      </c>
      <c r="CQ221" s="109">
        <v>1.1599999999999999</v>
      </c>
      <c r="CR221" s="109">
        <v>82.52</v>
      </c>
      <c r="CS221" s="109">
        <v>17.670000000000002</v>
      </c>
      <c r="CT221" s="109">
        <v>-6.39</v>
      </c>
      <c r="CU221" s="109">
        <v>83.99</v>
      </c>
      <c r="CV221" s="109">
        <v>19.37</v>
      </c>
      <c r="CW221" s="109">
        <v>-8.49</v>
      </c>
      <c r="CX221" s="111"/>
      <c r="CY221" s="111"/>
      <c r="CZ221" s="111"/>
      <c r="DA221" s="111"/>
      <c r="DB221" s="111"/>
      <c r="DC221" s="111"/>
      <c r="DD221" s="111"/>
      <c r="DE221" s="111"/>
      <c r="DF221" s="111"/>
    </row>
    <row r="222" spans="2:110">
      <c r="B222" s="7"/>
      <c r="C222" s="7"/>
      <c r="D222" s="7"/>
      <c r="E222" s="7"/>
      <c r="F222" s="7"/>
      <c r="G222" s="7"/>
      <c r="H222" s="7"/>
      <c r="I222" s="7"/>
      <c r="J222" s="7"/>
      <c r="K222" s="7"/>
      <c r="L222" s="7"/>
      <c r="M222" s="7"/>
      <c r="N222" s="7"/>
      <c r="O222" s="7"/>
      <c r="P222" s="7"/>
      <c r="Q222" s="7"/>
      <c r="R222" s="64"/>
      <c r="S222" s="64"/>
      <c r="T222" s="64"/>
      <c r="U222" s="64"/>
      <c r="V222" s="64"/>
      <c r="W222" s="64"/>
      <c r="X222" s="64"/>
      <c r="Y222" s="64"/>
      <c r="Z222" s="64"/>
      <c r="AA222" s="64"/>
      <c r="AB222" s="64"/>
      <c r="AC222" s="64"/>
      <c r="AD222"/>
      <c r="AE222" s="134"/>
      <c r="AF222" s="134"/>
      <c r="AG222" s="131">
        <v>100</v>
      </c>
      <c r="AH222" s="131">
        <v>100</v>
      </c>
      <c r="AI222" s="131">
        <v>100</v>
      </c>
      <c r="AJ222" s="131">
        <v>0</v>
      </c>
      <c r="AK222" s="130">
        <f t="shared" ca="1" si="373"/>
        <v>0</v>
      </c>
      <c r="AL222" s="130">
        <f t="shared" ca="1" si="376"/>
        <v>0</v>
      </c>
      <c r="AM222" s="130">
        <f t="shared" ca="1" si="377"/>
        <v>0</v>
      </c>
      <c r="AN222" s="130">
        <f t="shared" ca="1" si="375"/>
        <v>0</v>
      </c>
      <c r="AO222" s="109" t="str">
        <f t="shared" si="378"/>
        <v>C100M100Y100K0</v>
      </c>
      <c r="AQ222" s="109">
        <v>40</v>
      </c>
      <c r="AR222" s="109">
        <v>1.0000000000000001E-5</v>
      </c>
      <c r="AS222" s="109">
        <v>1.0000000000000001E-5</v>
      </c>
      <c r="AT222" s="109">
        <v>32</v>
      </c>
      <c r="AU222" s="109">
        <v>1.0000000000000001E-5</v>
      </c>
      <c r="AV222" s="109">
        <v>1.0000000000000001E-5</v>
      </c>
      <c r="AW222" s="109">
        <v>34</v>
      </c>
      <c r="AX222" s="109">
        <v>1.0000000000000001E-5</v>
      </c>
      <c r="AY222" s="109">
        <v>1.0000000000000001E-5</v>
      </c>
      <c r="AZ222" s="109">
        <v>27</v>
      </c>
      <c r="BA222" s="109">
        <v>1.0000000000000001E-5</v>
      </c>
      <c r="BB222" s="109">
        <v>1.0000000000000001E-5</v>
      </c>
      <c r="BC222" s="109">
        <v>25</v>
      </c>
      <c r="BD222" s="109">
        <v>1.0000000000000001E-5</v>
      </c>
      <c r="BE222" s="109">
        <v>1.0000000000000001E-5</v>
      </c>
      <c r="BF222" s="109">
        <v>24.41</v>
      </c>
      <c r="BG222" s="109">
        <v>0</v>
      </c>
      <c r="BH222" s="109">
        <v>1.24</v>
      </c>
      <c r="BI222" s="109">
        <v>23</v>
      </c>
      <c r="BJ222" s="109">
        <v>1.0000000000000001E-5</v>
      </c>
      <c r="BK222" s="109">
        <v>1.0000000000000001E-5</v>
      </c>
      <c r="BL222" s="109">
        <v>14</v>
      </c>
      <c r="BM222" s="109">
        <v>1.0000000000000001E-5</v>
      </c>
      <c r="BN222" s="109">
        <v>1.0000000000000001E-5</v>
      </c>
      <c r="BP222" s="131">
        <v>0</v>
      </c>
      <c r="BQ222" s="131">
        <v>50</v>
      </c>
      <c r="BR222" s="131">
        <v>50</v>
      </c>
      <c r="BS222" s="131">
        <v>0</v>
      </c>
      <c r="BT222" s="130">
        <f t="shared" si="380"/>
        <v>0</v>
      </c>
      <c r="BU222" s="130">
        <f t="shared" si="381"/>
        <v>1</v>
      </c>
      <c r="BV222" s="130">
        <f t="shared" ca="1" si="382"/>
        <v>0</v>
      </c>
      <c r="BW222" s="130">
        <f t="shared" ca="1" si="383"/>
        <v>1.9522985140680953</v>
      </c>
      <c r="BX222" s="109" t="str">
        <f t="shared" si="379"/>
        <v>C0M50Y50K0</v>
      </c>
      <c r="BZ222" s="109">
        <v>63.1</v>
      </c>
      <c r="CA222" s="109">
        <v>28.82</v>
      </c>
      <c r="CB222" s="109">
        <v>22.82</v>
      </c>
      <c r="CC222" s="109">
        <v>64.81</v>
      </c>
      <c r="CD222" s="109">
        <v>29.62</v>
      </c>
      <c r="CE222" s="109">
        <v>24</v>
      </c>
      <c r="CF222" s="109">
        <v>69.510000000000005</v>
      </c>
      <c r="CG222" s="109">
        <v>30.84</v>
      </c>
      <c r="CH222" s="109">
        <v>20.6</v>
      </c>
      <c r="CI222" s="109">
        <v>63.44</v>
      </c>
      <c r="CJ222" s="109">
        <v>32.99</v>
      </c>
      <c r="CK222" s="109">
        <v>27.45</v>
      </c>
      <c r="CL222" s="109">
        <v>67.5</v>
      </c>
      <c r="CM222" s="109">
        <v>31.22</v>
      </c>
      <c r="CN222" s="109">
        <v>28.54</v>
      </c>
      <c r="CO222" s="109">
        <v>65.97</v>
      </c>
      <c r="CP222" s="109">
        <v>30.62</v>
      </c>
      <c r="CQ222" s="109">
        <v>30.36</v>
      </c>
      <c r="CR222" s="109">
        <v>68.69</v>
      </c>
      <c r="CS222" s="109">
        <v>32.4</v>
      </c>
      <c r="CT222" s="109">
        <v>27.87</v>
      </c>
      <c r="CU222" s="109">
        <v>69.84</v>
      </c>
      <c r="CV222" s="109">
        <v>36.020000000000003</v>
      </c>
      <c r="CW222" s="109">
        <v>29.07</v>
      </c>
      <c r="CX222" s="111"/>
      <c r="CY222" s="111"/>
      <c r="CZ222" s="111"/>
      <c r="DA222" s="111"/>
      <c r="DB222" s="111"/>
      <c r="DC222" s="111"/>
      <c r="DD222" s="111"/>
      <c r="DE222" s="111"/>
      <c r="DF222" s="111"/>
    </row>
    <row r="223" spans="2:110">
      <c r="B223" s="7"/>
      <c r="C223" s="7"/>
      <c r="D223" s="7"/>
      <c r="E223" s="7"/>
      <c r="F223" s="7"/>
      <c r="G223" s="7"/>
      <c r="H223" s="7"/>
      <c r="I223" s="7"/>
      <c r="J223" s="7"/>
      <c r="K223" s="7"/>
      <c r="L223" s="7"/>
      <c r="M223" s="7"/>
      <c r="N223" s="7"/>
      <c r="O223" s="7"/>
      <c r="P223" s="7"/>
      <c r="Q223" s="7"/>
      <c r="R223" s="64"/>
      <c r="S223" s="64"/>
      <c r="T223" s="64"/>
      <c r="U223" s="64"/>
      <c r="V223" s="64"/>
      <c r="W223" s="64"/>
      <c r="X223" s="64"/>
      <c r="Y223" s="64"/>
      <c r="Z223" s="64"/>
      <c r="AA223" s="64"/>
      <c r="AB223" s="64"/>
      <c r="AC223" s="64"/>
      <c r="AD223"/>
      <c r="AE223" s="134"/>
      <c r="AF223" s="134"/>
      <c r="AG223" s="131">
        <v>80</v>
      </c>
      <c r="AH223" s="131">
        <v>70</v>
      </c>
      <c r="AI223" s="131">
        <v>70</v>
      </c>
      <c r="AJ223" s="131">
        <v>100</v>
      </c>
      <c r="AK223" s="130">
        <f t="shared" ca="1" si="373"/>
        <v>0</v>
      </c>
      <c r="AL223" s="130">
        <f t="shared" ca="1" si="376"/>
        <v>0</v>
      </c>
      <c r="AM223" s="130">
        <f t="shared" ca="1" si="377"/>
        <v>0</v>
      </c>
      <c r="AN223" s="130">
        <f t="shared" ca="1" si="375"/>
        <v>0</v>
      </c>
      <c r="AO223" s="109" t="str">
        <f t="shared" si="378"/>
        <v>C80M70Y70K100</v>
      </c>
      <c r="AQ223" s="109">
        <v>33.17</v>
      </c>
      <c r="AR223" s="109">
        <v>-0.38</v>
      </c>
      <c r="AS223" s="109">
        <v>1.19</v>
      </c>
      <c r="AT223" s="109">
        <v>22.89</v>
      </c>
      <c r="AU223" s="109">
        <v>0.81</v>
      </c>
      <c r="AV223" s="109">
        <v>0.86</v>
      </c>
      <c r="AW223" s="109">
        <v>28.23</v>
      </c>
      <c r="AX223" s="109">
        <v>-0.44</v>
      </c>
      <c r="AY223" s="109">
        <v>0.66</v>
      </c>
      <c r="AZ223" s="109">
        <v>15.89</v>
      </c>
      <c r="BA223" s="109">
        <v>0.26</v>
      </c>
      <c r="BB223" s="109">
        <v>1.07</v>
      </c>
      <c r="BC223" s="109">
        <v>10.73</v>
      </c>
      <c r="BD223" s="109">
        <v>-0.48</v>
      </c>
      <c r="BE223" s="109">
        <v>1.42</v>
      </c>
      <c r="BF223" s="109">
        <v>10.65</v>
      </c>
      <c r="BG223" s="109">
        <v>-0.43</v>
      </c>
      <c r="BH223" s="109">
        <v>1.63</v>
      </c>
      <c r="BI223" s="109">
        <v>10.06</v>
      </c>
      <c r="BJ223" s="109">
        <v>-0.56000000000000005</v>
      </c>
      <c r="BK223" s="109">
        <v>0.23</v>
      </c>
      <c r="BL223" s="109">
        <v>6.02</v>
      </c>
      <c r="BM223" s="109">
        <v>-0.81</v>
      </c>
      <c r="BN223" s="109">
        <v>1</v>
      </c>
      <c r="BP223" s="131">
        <v>100</v>
      </c>
      <c r="BQ223" s="131">
        <v>0</v>
      </c>
      <c r="BR223" s="131">
        <v>70</v>
      </c>
      <c r="BS223" s="131">
        <v>40</v>
      </c>
      <c r="BT223" s="130">
        <f t="shared" si="380"/>
        <v>0</v>
      </c>
      <c r="BU223" s="130">
        <f t="shared" si="381"/>
        <v>1</v>
      </c>
      <c r="BV223" s="130">
        <f t="shared" ca="1" si="382"/>
        <v>0</v>
      </c>
      <c r="BW223" s="130">
        <f t="shared" ca="1" si="383"/>
        <v>1.7318733258461758</v>
      </c>
      <c r="BX223" s="109" t="str">
        <f t="shared" si="379"/>
        <v>C100M0Y70K40</v>
      </c>
      <c r="BZ223" s="109">
        <v>44.61</v>
      </c>
      <c r="CA223" s="109">
        <v>-21.38</v>
      </c>
      <c r="CB223" s="109">
        <v>7.59</v>
      </c>
      <c r="CC223" s="109">
        <v>41.44</v>
      </c>
      <c r="CD223" s="109">
        <v>-25.89</v>
      </c>
      <c r="CE223" s="109">
        <v>4.0599999999999996</v>
      </c>
      <c r="CF223" s="109">
        <v>45.15</v>
      </c>
      <c r="CG223" s="109">
        <v>-24.98</v>
      </c>
      <c r="CH223" s="109">
        <v>2.52</v>
      </c>
      <c r="CI223" s="109">
        <v>37.11</v>
      </c>
      <c r="CJ223" s="109">
        <v>-34.18</v>
      </c>
      <c r="CK223" s="109">
        <v>5.78</v>
      </c>
      <c r="CL223" s="109">
        <v>40.08</v>
      </c>
      <c r="CM223" s="109">
        <v>-39.74</v>
      </c>
      <c r="CN223" s="109">
        <v>4.7699999999999996</v>
      </c>
      <c r="CO223" s="109">
        <v>39.119999999999997</v>
      </c>
      <c r="CP223" s="109">
        <v>-38.81</v>
      </c>
      <c r="CQ223" s="109">
        <v>6.49</v>
      </c>
      <c r="CR223" s="109">
        <v>38.49</v>
      </c>
      <c r="CS223" s="109">
        <v>-43.3</v>
      </c>
      <c r="CT223" s="109">
        <v>3.14</v>
      </c>
      <c r="CU223" s="109">
        <v>36.659999999999997</v>
      </c>
      <c r="CV223" s="109">
        <v>-47.95</v>
      </c>
      <c r="CW223" s="109">
        <v>2.23</v>
      </c>
      <c r="CX223" s="111"/>
      <c r="CY223" s="111"/>
      <c r="CZ223" s="111"/>
      <c r="DA223" s="111"/>
      <c r="DB223" s="111"/>
      <c r="DC223" s="111"/>
      <c r="DD223" s="111"/>
      <c r="DE223" s="111"/>
      <c r="DF223" s="111"/>
    </row>
    <row r="224" spans="2:110">
      <c r="B224" s="7"/>
      <c r="C224" s="7"/>
      <c r="D224" s="7"/>
      <c r="E224" s="7"/>
      <c r="F224" s="7"/>
      <c r="G224" s="7"/>
      <c r="H224" s="7"/>
      <c r="I224" s="7"/>
      <c r="J224" s="7"/>
      <c r="K224" s="7"/>
      <c r="L224" s="7"/>
      <c r="M224" s="7"/>
      <c r="N224" s="7"/>
      <c r="O224" s="7"/>
      <c r="P224" s="7"/>
      <c r="Q224" s="7"/>
      <c r="R224" s="64"/>
      <c r="S224" s="64"/>
      <c r="T224" s="64"/>
      <c r="U224" s="64"/>
      <c r="V224" s="64"/>
      <c r="W224" s="64"/>
      <c r="X224" s="64"/>
      <c r="Y224" s="64"/>
      <c r="Z224" s="64"/>
      <c r="AA224" s="64"/>
      <c r="AB224" s="64"/>
      <c r="AC224" s="64"/>
      <c r="AD224"/>
      <c r="AE224" s="134"/>
      <c r="AF224" s="134"/>
      <c r="AG224" s="131">
        <v>100</v>
      </c>
      <c r="AH224" s="131">
        <v>0</v>
      </c>
      <c r="AI224" s="131">
        <v>0</v>
      </c>
      <c r="AJ224" s="131">
        <v>60</v>
      </c>
      <c r="AK224" s="130">
        <f t="shared" ca="1" si="373"/>
        <v>0</v>
      </c>
      <c r="AL224" s="130">
        <f t="shared" ca="1" si="376"/>
        <v>0</v>
      </c>
      <c r="AM224" s="130">
        <f t="shared" ca="1" si="377"/>
        <v>0</v>
      </c>
      <c r="AN224" s="130">
        <f t="shared" ca="1" si="375"/>
        <v>0</v>
      </c>
      <c r="AO224" s="109" t="str">
        <f t="shared" si="378"/>
        <v>C100M0Y0K60</v>
      </c>
      <c r="AQ224" s="109">
        <v>40.200000000000003</v>
      </c>
      <c r="AR224" s="109">
        <v>-10.83</v>
      </c>
      <c r="AS224" s="109">
        <v>-7.94</v>
      </c>
      <c r="AT224" s="109">
        <v>36.69</v>
      </c>
      <c r="AU224" s="109">
        <v>-12.03</v>
      </c>
      <c r="AV224" s="109">
        <v>-15.54</v>
      </c>
      <c r="AW224" s="109">
        <v>41.63</v>
      </c>
      <c r="AX224" s="109">
        <v>-11.52</v>
      </c>
      <c r="AY224" s="109">
        <v>-17.190000000000001</v>
      </c>
      <c r="AZ224" s="109">
        <v>32.29</v>
      </c>
      <c r="BA224" s="109">
        <v>-19.27</v>
      </c>
      <c r="BB224" s="109">
        <v>-19.39</v>
      </c>
      <c r="BC224" s="109">
        <v>33.94</v>
      </c>
      <c r="BD224" s="109">
        <v>-20.91</v>
      </c>
      <c r="BE224" s="109">
        <v>-24.73</v>
      </c>
      <c r="BF224" s="109">
        <v>33.130000000000003</v>
      </c>
      <c r="BG224" s="109">
        <v>-20.399999999999999</v>
      </c>
      <c r="BH224" s="109">
        <v>-21.9</v>
      </c>
      <c r="BI224" s="109">
        <v>32.07</v>
      </c>
      <c r="BJ224" s="109">
        <v>-22.41</v>
      </c>
      <c r="BK224" s="109">
        <v>-28.05</v>
      </c>
      <c r="BL224" s="109">
        <v>30.08</v>
      </c>
      <c r="BM224" s="109">
        <v>-26.09</v>
      </c>
      <c r="BN224" s="109">
        <v>-29.87</v>
      </c>
      <c r="BP224" s="131">
        <v>0</v>
      </c>
      <c r="BQ224" s="131">
        <v>10</v>
      </c>
      <c r="BR224" s="131">
        <v>0</v>
      </c>
      <c r="BS224" s="131">
        <v>0</v>
      </c>
      <c r="BT224" s="130">
        <f t="shared" si="380"/>
        <v>0</v>
      </c>
      <c r="BU224" s="130">
        <f t="shared" si="381"/>
        <v>1</v>
      </c>
      <c r="BV224" s="130">
        <f t="shared" ca="1" si="382"/>
        <v>0</v>
      </c>
      <c r="BW224" s="130">
        <f t="shared" ca="1" si="383"/>
        <v>9.5906449914018269E-2</v>
      </c>
      <c r="BX224" s="109" t="str">
        <f t="shared" si="379"/>
        <v>C0M10Y0K0</v>
      </c>
      <c r="BZ224" s="109">
        <v>79.97</v>
      </c>
      <c r="CA224" s="109">
        <v>8.74</v>
      </c>
      <c r="CB224" s="109">
        <v>3.38</v>
      </c>
      <c r="CC224" s="109">
        <v>82.23</v>
      </c>
      <c r="CD224" s="109">
        <v>6.97</v>
      </c>
      <c r="CE224" s="109">
        <v>1.35</v>
      </c>
      <c r="CF224" s="109">
        <v>89.76</v>
      </c>
      <c r="CG224" s="109">
        <v>8.5399999999999991</v>
      </c>
      <c r="CH224" s="109">
        <v>-4.59</v>
      </c>
      <c r="CI224" s="109">
        <v>83.63</v>
      </c>
      <c r="CJ224" s="109">
        <v>7.54</v>
      </c>
      <c r="CK224" s="109">
        <v>1.02</v>
      </c>
      <c r="CL224" s="109">
        <v>87.15</v>
      </c>
      <c r="CM224" s="109">
        <v>6.56</v>
      </c>
      <c r="CN224" s="109">
        <v>-1.04</v>
      </c>
      <c r="CO224" s="109">
        <v>85.24</v>
      </c>
      <c r="CP224" s="109">
        <v>6.43</v>
      </c>
      <c r="CQ224" s="109">
        <v>2.82</v>
      </c>
      <c r="CR224" s="109">
        <v>89.89</v>
      </c>
      <c r="CS224" s="109">
        <v>7.72</v>
      </c>
      <c r="CT224" s="109">
        <v>-5.04</v>
      </c>
      <c r="CU224" s="109">
        <v>91.67</v>
      </c>
      <c r="CV224" s="109">
        <v>8.4499999999999993</v>
      </c>
      <c r="CW224" s="109">
        <v>-5.93</v>
      </c>
      <c r="CX224" s="111"/>
      <c r="CY224" s="111"/>
      <c r="CZ224" s="111"/>
      <c r="DA224" s="111"/>
      <c r="DB224" s="111"/>
      <c r="DC224" s="111"/>
      <c r="DD224" s="111"/>
      <c r="DE224" s="111"/>
      <c r="DF224" s="111"/>
    </row>
    <row r="225" spans="2:110">
      <c r="B225" s="7"/>
      <c r="C225" s="7"/>
      <c r="D225" s="7"/>
      <c r="E225" s="7"/>
      <c r="F225" s="7"/>
      <c r="G225" s="7"/>
      <c r="H225" s="7"/>
      <c r="I225" s="7"/>
      <c r="J225" s="7"/>
      <c r="K225" s="7"/>
      <c r="L225" s="7"/>
      <c r="M225" s="7"/>
      <c r="N225" s="7"/>
      <c r="O225" s="7"/>
      <c r="P225" s="7"/>
      <c r="Q225" s="7"/>
      <c r="R225" s="64"/>
      <c r="S225" s="64"/>
      <c r="T225" s="64"/>
      <c r="U225" s="64"/>
      <c r="V225" s="64"/>
      <c r="W225" s="64"/>
      <c r="X225" s="64"/>
      <c r="Y225" s="64"/>
      <c r="Z225" s="64"/>
      <c r="AA225" s="64"/>
      <c r="AB225" s="64"/>
      <c r="AC225" s="64"/>
      <c r="AD225"/>
      <c r="AE225" s="134"/>
      <c r="AF225" s="134"/>
      <c r="AG225" s="131">
        <v>100</v>
      </c>
      <c r="AH225" s="131">
        <v>0</v>
      </c>
      <c r="AI225" s="131">
        <v>0</v>
      </c>
      <c r="AJ225" s="131">
        <v>0</v>
      </c>
      <c r="AK225" s="130">
        <f t="shared" ca="1" si="373"/>
        <v>0</v>
      </c>
      <c r="AL225" s="130">
        <f t="shared" ca="1" si="376"/>
        <v>0</v>
      </c>
      <c r="AM225" s="130">
        <f t="shared" ca="1" si="377"/>
        <v>0</v>
      </c>
      <c r="AN225" s="130">
        <f t="shared" ca="1" si="375"/>
        <v>0</v>
      </c>
      <c r="AO225" s="109" t="str">
        <f t="shared" si="378"/>
        <v>C100M0Y0K0</v>
      </c>
      <c r="AQ225" s="109">
        <v>59</v>
      </c>
      <c r="AR225" s="109">
        <v>-24</v>
      </c>
      <c r="AS225" s="109">
        <v>-26</v>
      </c>
      <c r="AT225" s="109">
        <v>57</v>
      </c>
      <c r="AU225" s="109">
        <v>-28</v>
      </c>
      <c r="AV225" s="109">
        <v>-34</v>
      </c>
      <c r="AW225" s="109">
        <v>60</v>
      </c>
      <c r="AX225" s="109">
        <v>-26</v>
      </c>
      <c r="AY225" s="109">
        <v>-44</v>
      </c>
      <c r="AZ225" s="109">
        <v>55</v>
      </c>
      <c r="BA225" s="109">
        <v>-36</v>
      </c>
      <c r="BB225" s="109">
        <v>-38</v>
      </c>
      <c r="BC225" s="109">
        <v>57</v>
      </c>
      <c r="BD225" s="109">
        <v>-37</v>
      </c>
      <c r="BE225" s="109">
        <v>-44</v>
      </c>
      <c r="BF225" s="109">
        <v>55.69</v>
      </c>
      <c r="BG225" s="109">
        <v>-36.24</v>
      </c>
      <c r="BH225" s="109">
        <v>-39.49</v>
      </c>
      <c r="BI225" s="109">
        <v>56</v>
      </c>
      <c r="BJ225" s="109">
        <v>-37</v>
      </c>
      <c r="BK225" s="109">
        <v>-50</v>
      </c>
      <c r="BL225" s="109">
        <v>54</v>
      </c>
      <c r="BM225" s="109">
        <v>-42</v>
      </c>
      <c r="BN225" s="109">
        <v>-54</v>
      </c>
      <c r="BP225" s="131">
        <v>0</v>
      </c>
      <c r="BQ225" s="131">
        <v>25</v>
      </c>
      <c r="BR225" s="131">
        <v>25</v>
      </c>
      <c r="BS225" s="131">
        <v>0</v>
      </c>
      <c r="BT225" s="130">
        <f t="shared" si="380"/>
        <v>0</v>
      </c>
      <c r="BU225" s="130">
        <f t="shared" si="381"/>
        <v>1</v>
      </c>
      <c r="BV225" s="130">
        <f t="shared" ca="1" si="382"/>
        <v>0</v>
      </c>
      <c r="BW225" s="130">
        <f t="shared" ca="1" si="383"/>
        <v>1.3526957880798571</v>
      </c>
      <c r="BX225" s="109" t="str">
        <f t="shared" si="379"/>
        <v>C0M25Y25K0</v>
      </c>
      <c r="BZ225" s="109">
        <v>72.11</v>
      </c>
      <c r="CA225" s="109">
        <v>16.739999999999998</v>
      </c>
      <c r="CB225" s="109">
        <v>17.54</v>
      </c>
      <c r="CC225" s="109">
        <v>74.599999999999994</v>
      </c>
      <c r="CD225" s="109">
        <v>15.03</v>
      </c>
      <c r="CE225" s="109">
        <v>15.81</v>
      </c>
      <c r="CF225" s="109">
        <v>81.150000000000006</v>
      </c>
      <c r="CG225" s="109">
        <v>16.149999999999999</v>
      </c>
      <c r="CH225" s="109">
        <v>12.23</v>
      </c>
      <c r="CI225" s="109">
        <v>75.02</v>
      </c>
      <c r="CJ225" s="109">
        <v>16.5</v>
      </c>
      <c r="CK225" s="109">
        <v>17.02</v>
      </c>
      <c r="CL225" s="109">
        <v>79.180000000000007</v>
      </c>
      <c r="CM225" s="109">
        <v>14.65</v>
      </c>
      <c r="CN225" s="109">
        <v>15.66</v>
      </c>
      <c r="CO225" s="109">
        <v>77.430000000000007</v>
      </c>
      <c r="CP225" s="109">
        <v>14.37</v>
      </c>
      <c r="CQ225" s="109">
        <v>18.52</v>
      </c>
      <c r="CR225" s="109">
        <v>81.33</v>
      </c>
      <c r="CS225" s="109">
        <v>15.56</v>
      </c>
      <c r="CT225" s="109">
        <v>13.1</v>
      </c>
      <c r="CU225" s="109">
        <v>83.1</v>
      </c>
      <c r="CV225" s="109">
        <v>17.309999999999999</v>
      </c>
      <c r="CW225" s="109">
        <v>13.37</v>
      </c>
      <c r="CX225" s="111"/>
      <c r="CY225" s="111"/>
      <c r="CZ225" s="111"/>
      <c r="DA225" s="111"/>
      <c r="DB225" s="111"/>
      <c r="DC225" s="111"/>
      <c r="DD225" s="111"/>
      <c r="DE225" s="111"/>
      <c r="DF225" s="111"/>
    </row>
    <row r="226" spans="2:110">
      <c r="B226" s="7"/>
      <c r="C226" s="7"/>
      <c r="D226" s="7"/>
      <c r="E226" s="7"/>
      <c r="F226" s="7"/>
      <c r="G226" s="7"/>
      <c r="H226" s="7"/>
      <c r="I226" s="7"/>
      <c r="J226" s="7"/>
      <c r="K226" s="7"/>
      <c r="L226" s="7"/>
      <c r="M226" s="7"/>
      <c r="N226" s="7"/>
      <c r="O226" s="7"/>
      <c r="P226" s="7"/>
      <c r="Q226" s="7"/>
      <c r="R226" s="64"/>
      <c r="S226" s="64"/>
      <c r="T226" s="64"/>
      <c r="U226" s="64"/>
      <c r="V226" s="64"/>
      <c r="W226" s="64"/>
      <c r="X226" s="64"/>
      <c r="Y226" s="64"/>
      <c r="Z226" s="64"/>
      <c r="AA226" s="64"/>
      <c r="AB226" s="64"/>
      <c r="AC226" s="64"/>
      <c r="AD226"/>
      <c r="AE226" s="134"/>
      <c r="AF226" s="134"/>
      <c r="AG226" s="131">
        <v>70</v>
      </c>
      <c r="AH226" s="131">
        <v>0</v>
      </c>
      <c r="AI226" s="131">
        <v>0</v>
      </c>
      <c r="AJ226" s="131">
        <v>0</v>
      </c>
      <c r="AK226" s="130">
        <f t="shared" ca="1" si="373"/>
        <v>0</v>
      </c>
      <c r="AL226" s="130">
        <f t="shared" ca="1" si="376"/>
        <v>0</v>
      </c>
      <c r="AM226" s="130">
        <f t="shared" ca="1" si="377"/>
        <v>0</v>
      </c>
      <c r="AN226" s="130">
        <f t="shared" ca="1" si="375"/>
        <v>0</v>
      </c>
      <c r="AO226" s="109" t="str">
        <f t="shared" si="378"/>
        <v>C70M0Y0K0</v>
      </c>
      <c r="AQ226" s="109">
        <v>63.23</v>
      </c>
      <c r="AR226" s="109">
        <v>-20.3</v>
      </c>
      <c r="AS226" s="109">
        <v>-21.18</v>
      </c>
      <c r="AT226" s="109">
        <v>63.84</v>
      </c>
      <c r="AU226" s="109">
        <v>-21.92</v>
      </c>
      <c r="AV226" s="109">
        <v>-25.82</v>
      </c>
      <c r="AW226" s="109">
        <v>68.540000000000006</v>
      </c>
      <c r="AX226" s="109">
        <v>-20.75</v>
      </c>
      <c r="AY226" s="109">
        <v>-34.299999999999997</v>
      </c>
      <c r="AZ226" s="109">
        <v>63.79</v>
      </c>
      <c r="BA226" s="109">
        <v>-26.92</v>
      </c>
      <c r="BB226" s="109">
        <v>-28.43</v>
      </c>
      <c r="BC226" s="109">
        <v>65.569999999999993</v>
      </c>
      <c r="BD226" s="109">
        <v>-25.81</v>
      </c>
      <c r="BE226" s="109">
        <v>-32.75</v>
      </c>
      <c r="BF226" s="109">
        <v>64.09</v>
      </c>
      <c r="BG226" s="109">
        <v>-25.29</v>
      </c>
      <c r="BH226" s="109">
        <v>-28.39</v>
      </c>
      <c r="BI226" s="109">
        <v>66.790000000000006</v>
      </c>
      <c r="BJ226" s="109">
        <v>-25.16</v>
      </c>
      <c r="BK226" s="109">
        <v>-37.630000000000003</v>
      </c>
      <c r="BL226" s="109">
        <v>67.67</v>
      </c>
      <c r="BM226" s="109">
        <v>-28.18</v>
      </c>
      <c r="BN226" s="109">
        <v>-39.619999999999997</v>
      </c>
      <c r="BP226" s="131">
        <v>70</v>
      </c>
      <c r="BQ226" s="131">
        <v>40</v>
      </c>
      <c r="BR226" s="131">
        <v>0</v>
      </c>
      <c r="BS226" s="131">
        <v>40</v>
      </c>
      <c r="BT226" s="130">
        <f t="shared" si="380"/>
        <v>0</v>
      </c>
      <c r="BU226" s="130">
        <f t="shared" si="381"/>
        <v>1</v>
      </c>
      <c r="BV226" s="130">
        <f t="shared" ca="1" si="382"/>
        <v>0</v>
      </c>
      <c r="BW226" s="130">
        <f t="shared" ca="1" si="383"/>
        <v>0.56138254303237944</v>
      </c>
      <c r="BX226" s="109" t="str">
        <f t="shared" si="379"/>
        <v>C70M40Y0K40</v>
      </c>
      <c r="BZ226" s="109">
        <v>43.01</v>
      </c>
      <c r="CA226" s="109">
        <v>-0.56999999999999995</v>
      </c>
      <c r="CB226" s="109">
        <v>-10.64</v>
      </c>
      <c r="CC226" s="109">
        <v>40.770000000000003</v>
      </c>
      <c r="CD226" s="109">
        <v>0.3</v>
      </c>
      <c r="CE226" s="109">
        <v>-17.59</v>
      </c>
      <c r="CF226" s="109">
        <v>45.53</v>
      </c>
      <c r="CG226" s="109">
        <v>-0.72</v>
      </c>
      <c r="CH226" s="109">
        <v>-17.760000000000002</v>
      </c>
      <c r="CI226" s="109">
        <v>36.68</v>
      </c>
      <c r="CJ226" s="109">
        <v>-2.21</v>
      </c>
      <c r="CK226" s="109">
        <v>-21.36</v>
      </c>
      <c r="CL226" s="109">
        <v>38.17</v>
      </c>
      <c r="CM226" s="109">
        <v>-2.16</v>
      </c>
      <c r="CN226" s="109">
        <v>-24.51</v>
      </c>
      <c r="CO226" s="109">
        <v>37.26</v>
      </c>
      <c r="CP226" s="109">
        <v>-2.11</v>
      </c>
      <c r="CQ226" s="109">
        <v>-21.53</v>
      </c>
      <c r="CR226" s="109">
        <v>37.72</v>
      </c>
      <c r="CS226" s="109">
        <v>-1.79</v>
      </c>
      <c r="CT226" s="109">
        <v>-26.49</v>
      </c>
      <c r="CU226" s="109">
        <v>36.1</v>
      </c>
      <c r="CV226" s="109">
        <v>-1.18</v>
      </c>
      <c r="CW226" s="109">
        <v>-27.77</v>
      </c>
      <c r="CX226" s="111"/>
      <c r="CY226" s="111"/>
      <c r="CZ226" s="111"/>
      <c r="DA226" s="111"/>
      <c r="DB226" s="111"/>
      <c r="DC226" s="111"/>
      <c r="DD226" s="111"/>
      <c r="DE226" s="111"/>
      <c r="DF226" s="111"/>
    </row>
    <row r="227" spans="2:110">
      <c r="B227" s="7"/>
      <c r="C227" s="7"/>
      <c r="D227" s="7"/>
      <c r="E227" s="7"/>
      <c r="F227" s="7"/>
      <c r="G227" s="7"/>
      <c r="H227" s="7"/>
      <c r="I227" s="7"/>
      <c r="J227" s="7"/>
      <c r="K227" s="7"/>
      <c r="L227" s="7"/>
      <c r="M227" s="7"/>
      <c r="N227" s="7"/>
      <c r="O227" s="7"/>
      <c r="P227" s="7"/>
      <c r="Q227" s="7"/>
      <c r="R227" s="64"/>
      <c r="S227" s="64"/>
      <c r="T227" s="64"/>
      <c r="U227" s="64"/>
      <c r="V227" s="64"/>
      <c r="W227" s="64"/>
      <c r="X227" s="64"/>
      <c r="Y227" s="64"/>
      <c r="Z227" s="64"/>
      <c r="AA227" s="64"/>
      <c r="AB227" s="64"/>
      <c r="AC227" s="64"/>
      <c r="AD227"/>
      <c r="AE227" s="134"/>
      <c r="AF227" s="134"/>
      <c r="AG227" s="131">
        <v>30</v>
      </c>
      <c r="AH227" s="131">
        <v>0</v>
      </c>
      <c r="AI227" s="131">
        <v>0</v>
      </c>
      <c r="AJ227" s="131">
        <v>0</v>
      </c>
      <c r="AK227" s="130">
        <f t="shared" ca="1" si="373"/>
        <v>0</v>
      </c>
      <c r="AL227" s="130">
        <f t="shared" ca="1" si="376"/>
        <v>0</v>
      </c>
      <c r="AM227" s="130">
        <f t="shared" ca="1" si="377"/>
        <v>0</v>
      </c>
      <c r="AN227" s="130">
        <f t="shared" ca="1" si="375"/>
        <v>0</v>
      </c>
      <c r="AO227" s="109" t="str">
        <f t="shared" si="378"/>
        <v>C30M0Y0K0</v>
      </c>
      <c r="AQ227" s="109">
        <v>73.78</v>
      </c>
      <c r="AR227" s="109">
        <v>-10.35</v>
      </c>
      <c r="AS227" s="109">
        <v>-8.91</v>
      </c>
      <c r="AT227" s="109">
        <v>76.37</v>
      </c>
      <c r="AU227" s="109">
        <v>-10.24</v>
      </c>
      <c r="AV227" s="109">
        <v>-10.42</v>
      </c>
      <c r="AW227" s="109">
        <v>83.08</v>
      </c>
      <c r="AX227" s="109">
        <v>-9.52</v>
      </c>
      <c r="AY227" s="109">
        <v>-17.690000000000001</v>
      </c>
      <c r="AZ227" s="109">
        <v>77.75</v>
      </c>
      <c r="BA227" s="109">
        <v>-12.04</v>
      </c>
      <c r="BB227" s="109">
        <v>-11.63</v>
      </c>
      <c r="BC227" s="109">
        <v>80.58</v>
      </c>
      <c r="BD227" s="109">
        <v>-10.01</v>
      </c>
      <c r="BE227" s="109">
        <v>-14.02</v>
      </c>
      <c r="BF227" s="109">
        <v>78.8</v>
      </c>
      <c r="BG227" s="109">
        <v>-9.82</v>
      </c>
      <c r="BH227" s="109">
        <v>-9.8699999999999992</v>
      </c>
      <c r="BI227" s="109">
        <v>83.14</v>
      </c>
      <c r="BJ227" s="109">
        <v>-9.14</v>
      </c>
      <c r="BK227" s="109">
        <v>-18.38</v>
      </c>
      <c r="BL227" s="109">
        <v>85.13</v>
      </c>
      <c r="BM227" s="109">
        <v>-10.5</v>
      </c>
      <c r="BN227" s="109">
        <v>-19.29</v>
      </c>
      <c r="BP227" s="131">
        <v>0</v>
      </c>
      <c r="BQ227" s="131">
        <v>0</v>
      </c>
      <c r="BR227" s="131">
        <v>100</v>
      </c>
      <c r="BS227" s="131">
        <v>0</v>
      </c>
      <c r="BT227" s="130">
        <f t="shared" si="380"/>
        <v>0</v>
      </c>
      <c r="BU227" s="130">
        <f t="shared" si="381"/>
        <v>1</v>
      </c>
      <c r="BV227" s="130">
        <f t="shared" ca="1" si="382"/>
        <v>0</v>
      </c>
      <c r="BW227" s="130">
        <f t="shared" ca="1" si="383"/>
        <v>1.9993934282062913</v>
      </c>
      <c r="BX227" s="109" t="str">
        <f t="shared" si="379"/>
        <v>C0M0Y100K0</v>
      </c>
      <c r="BZ227" s="109">
        <v>80</v>
      </c>
      <c r="CA227" s="109">
        <v>-2</v>
      </c>
      <c r="CB227" s="109">
        <v>60</v>
      </c>
      <c r="CC227" s="109">
        <v>82</v>
      </c>
      <c r="CD227" s="109">
        <v>-2</v>
      </c>
      <c r="CE227" s="109">
        <v>72</v>
      </c>
      <c r="CF227" s="109">
        <v>89</v>
      </c>
      <c r="CG227" s="109">
        <v>-3</v>
      </c>
      <c r="CH227" s="109">
        <v>76</v>
      </c>
      <c r="CI227" s="109">
        <v>83</v>
      </c>
      <c r="CJ227" s="109">
        <v>-3</v>
      </c>
      <c r="CK227" s="109">
        <v>83</v>
      </c>
      <c r="CL227" s="109">
        <v>87</v>
      </c>
      <c r="CM227" s="109">
        <v>-4</v>
      </c>
      <c r="CN227" s="109">
        <v>88</v>
      </c>
      <c r="CO227" s="109">
        <v>85.1</v>
      </c>
      <c r="CP227" s="109">
        <v>-3.92</v>
      </c>
      <c r="CQ227" s="109">
        <v>87.97</v>
      </c>
      <c r="CR227" s="109">
        <v>89</v>
      </c>
      <c r="CS227" s="109">
        <v>-4</v>
      </c>
      <c r="CT227" s="109">
        <v>93</v>
      </c>
      <c r="CU227" s="109">
        <v>90</v>
      </c>
      <c r="CV227" s="109">
        <v>-4</v>
      </c>
      <c r="CW227" s="109">
        <v>103</v>
      </c>
      <c r="CX227" s="111"/>
      <c r="CY227" s="111"/>
      <c r="CZ227" s="111"/>
      <c r="DA227" s="111"/>
      <c r="DB227" s="111"/>
      <c r="DC227" s="111"/>
      <c r="DD227" s="111"/>
      <c r="DE227" s="111"/>
      <c r="DF227" s="111"/>
    </row>
    <row r="228" spans="2:110">
      <c r="B228" s="7"/>
      <c r="C228" s="7"/>
      <c r="D228" s="7"/>
      <c r="E228" s="7"/>
      <c r="F228" s="7"/>
      <c r="G228" s="7"/>
      <c r="H228" s="7"/>
      <c r="I228" s="7"/>
      <c r="J228" s="7"/>
      <c r="K228" s="7"/>
      <c r="L228" s="7"/>
      <c r="M228" s="7"/>
      <c r="N228" s="7"/>
      <c r="O228" s="7"/>
      <c r="P228" s="7"/>
      <c r="Q228" s="7"/>
      <c r="R228" s="64"/>
      <c r="S228" s="64"/>
      <c r="T228" s="64"/>
      <c r="U228" s="64"/>
      <c r="V228" s="64"/>
      <c r="W228" s="64"/>
      <c r="X228" s="64"/>
      <c r="Y228" s="64"/>
      <c r="Z228" s="64"/>
      <c r="AA228" s="64"/>
      <c r="AB228" s="64"/>
      <c r="AC228" s="64"/>
      <c r="AD228"/>
      <c r="AE228" s="134"/>
      <c r="AF228" s="134"/>
      <c r="AG228" s="131">
        <v>0</v>
      </c>
      <c r="AH228" s="131">
        <v>100</v>
      </c>
      <c r="AI228" s="131">
        <v>0</v>
      </c>
      <c r="AJ228" s="131">
        <v>60</v>
      </c>
      <c r="AK228" s="130">
        <f t="shared" ref="AK228:AK250" ca="1" si="384">CP45</f>
        <v>0</v>
      </c>
      <c r="AL228" s="130">
        <f t="shared" ca="1" si="376"/>
        <v>0</v>
      </c>
      <c r="AM228" s="130">
        <f t="shared" ca="1" si="377"/>
        <v>0</v>
      </c>
      <c r="AN228" s="130">
        <f t="shared" ref="AN228:AN250" ca="1" si="385">AS45</f>
        <v>0</v>
      </c>
      <c r="AO228" s="109" t="str">
        <f t="shared" si="378"/>
        <v>C0M100Y0K60</v>
      </c>
      <c r="AQ228" s="109">
        <v>39.49</v>
      </c>
      <c r="AR228" s="109">
        <v>20.58</v>
      </c>
      <c r="AS228" s="109">
        <v>2.0699999999999998</v>
      </c>
      <c r="AT228" s="109">
        <v>34.54</v>
      </c>
      <c r="AU228" s="109">
        <v>27.42</v>
      </c>
      <c r="AV228" s="109">
        <v>-1.4</v>
      </c>
      <c r="AW228" s="109">
        <v>40.299999999999997</v>
      </c>
      <c r="AX228" s="109">
        <v>24.06</v>
      </c>
      <c r="AY228" s="109">
        <v>0.25</v>
      </c>
      <c r="AZ228" s="109">
        <v>28.31</v>
      </c>
      <c r="BA228" s="109">
        <v>33.06</v>
      </c>
      <c r="BB228" s="109">
        <v>-3</v>
      </c>
      <c r="BC228" s="109">
        <v>27.78</v>
      </c>
      <c r="BD228" s="109">
        <v>40.56</v>
      </c>
      <c r="BE228" s="109">
        <v>-2.87</v>
      </c>
      <c r="BF228" s="109">
        <v>27.12</v>
      </c>
      <c r="BG228" s="109">
        <v>39.58</v>
      </c>
      <c r="BH228" s="109">
        <v>-1.33</v>
      </c>
      <c r="BI228" s="109">
        <v>27.7</v>
      </c>
      <c r="BJ228" s="109">
        <v>41.31</v>
      </c>
      <c r="BK228" s="109">
        <v>-2.4700000000000002</v>
      </c>
      <c r="BL228" s="109">
        <v>25.86</v>
      </c>
      <c r="BM228" s="109">
        <v>43.77</v>
      </c>
      <c r="BN228" s="109">
        <v>-4.5</v>
      </c>
      <c r="BP228" s="131">
        <v>100</v>
      </c>
      <c r="BQ228" s="131">
        <v>0</v>
      </c>
      <c r="BR228" s="131">
        <v>100</v>
      </c>
      <c r="BS228" s="131">
        <v>80</v>
      </c>
      <c r="BT228" s="130">
        <f t="shared" si="380"/>
        <v>0</v>
      </c>
      <c r="BU228" s="130">
        <f t="shared" si="381"/>
        <v>1</v>
      </c>
      <c r="BV228" s="130">
        <f t="shared" ca="1" si="382"/>
        <v>0</v>
      </c>
      <c r="BW228" s="130">
        <f t="shared" ca="1" si="383"/>
        <v>0.62051628930609659</v>
      </c>
      <c r="BX228" s="109" t="str">
        <f t="shared" si="379"/>
        <v>C100M0Y100K80</v>
      </c>
      <c r="BZ228" s="109">
        <v>37.979999999999997</v>
      </c>
      <c r="CA228" s="109">
        <v>-13.39</v>
      </c>
      <c r="CB228" s="109">
        <v>7.12</v>
      </c>
      <c r="CC228" s="109">
        <v>29.23</v>
      </c>
      <c r="CD228" s="109">
        <v>-12.09</v>
      </c>
      <c r="CE228" s="109">
        <v>4.7300000000000004</v>
      </c>
      <c r="CF228" s="109">
        <v>33.450000000000003</v>
      </c>
      <c r="CG228" s="109">
        <v>-10.5</v>
      </c>
      <c r="CH228" s="109">
        <v>3.34</v>
      </c>
      <c r="CI228" s="109">
        <v>23.28</v>
      </c>
      <c r="CJ228" s="109">
        <v>-17.05</v>
      </c>
      <c r="CK228" s="109">
        <v>7.63</v>
      </c>
      <c r="CL228" s="109">
        <v>23.22</v>
      </c>
      <c r="CM228" s="109">
        <v>-23.19</v>
      </c>
      <c r="CN228" s="109">
        <v>10.69</v>
      </c>
      <c r="CO228" s="109">
        <v>22.68</v>
      </c>
      <c r="CP228" s="109">
        <v>-22.47</v>
      </c>
      <c r="CQ228" s="109">
        <v>11.15</v>
      </c>
      <c r="CR228" s="109">
        <v>21.55</v>
      </c>
      <c r="CS228" s="109">
        <v>-25.5</v>
      </c>
      <c r="CT228" s="109">
        <v>9.39</v>
      </c>
      <c r="CU228" s="109">
        <v>18.829999999999998</v>
      </c>
      <c r="CV228" s="109">
        <v>-28.7</v>
      </c>
      <c r="CW228" s="109">
        <v>10.02</v>
      </c>
      <c r="CX228" s="111"/>
      <c r="CY228" s="111"/>
      <c r="CZ228" s="111"/>
      <c r="DA228" s="111"/>
      <c r="DB228" s="111"/>
      <c r="DC228" s="111"/>
      <c r="DD228" s="111"/>
      <c r="DE228" s="111"/>
      <c r="DF228" s="111"/>
    </row>
    <row r="229" spans="2:110">
      <c r="B229" s="7"/>
      <c r="C229" s="7"/>
      <c r="D229" s="7"/>
      <c r="E229" s="7"/>
      <c r="F229" s="7"/>
      <c r="G229" s="7"/>
      <c r="H229" s="7"/>
      <c r="I229" s="7"/>
      <c r="J229" s="7"/>
      <c r="K229" s="7"/>
      <c r="L229" s="7"/>
      <c r="M229" s="7"/>
      <c r="N229" s="7"/>
      <c r="O229" s="7"/>
      <c r="P229" s="7"/>
      <c r="Q229" s="7"/>
      <c r="R229" s="64"/>
      <c r="S229" s="64"/>
      <c r="T229" s="64"/>
      <c r="U229" s="64"/>
      <c r="V229" s="64"/>
      <c r="W229" s="64"/>
      <c r="X229" s="64"/>
      <c r="Y229" s="64"/>
      <c r="Z229" s="64"/>
      <c r="AA229" s="64"/>
      <c r="AB229" s="64"/>
      <c r="AC229" s="64"/>
      <c r="AD229"/>
      <c r="AE229" s="134"/>
      <c r="AF229" s="134"/>
      <c r="AG229" s="131">
        <v>0</v>
      </c>
      <c r="AH229" s="131">
        <v>100</v>
      </c>
      <c r="AI229" s="131">
        <v>0</v>
      </c>
      <c r="AJ229" s="131">
        <v>0</v>
      </c>
      <c r="AK229" s="130">
        <f t="shared" ca="1" si="384"/>
        <v>0</v>
      </c>
      <c r="AL229" s="130">
        <f t="shared" ref="AL229:AL250" ca="1" si="386">AW46</f>
        <v>0</v>
      </c>
      <c r="AM229" s="130">
        <f t="shared" ref="AM229:AM250" ca="1" si="387">AX46</f>
        <v>0</v>
      </c>
      <c r="AN229" s="130">
        <f t="shared" ca="1" si="385"/>
        <v>0</v>
      </c>
      <c r="AO229" s="109" t="str">
        <f t="shared" ref="AO229:AO250" si="388">"C"&amp;ROUND(AG229,0)&amp;"M"&amp;ROUND(AH229,0)&amp;"Y"&amp;ROUND(AI229,0)&amp;"K"&amp;ROUND(AJ229,0)</f>
        <v>C0M100Y0K0</v>
      </c>
      <c r="AQ229" s="109">
        <v>56</v>
      </c>
      <c r="AR229" s="109">
        <v>48</v>
      </c>
      <c r="AS229" s="109">
        <v>0</v>
      </c>
      <c r="AT229" s="109">
        <v>52</v>
      </c>
      <c r="AU229" s="109">
        <v>58</v>
      </c>
      <c r="AV229" s="109">
        <v>-2</v>
      </c>
      <c r="AW229" s="109">
        <v>56</v>
      </c>
      <c r="AX229" s="109">
        <v>61</v>
      </c>
      <c r="AY229" s="109">
        <v>-2</v>
      </c>
      <c r="AZ229" s="109">
        <v>47</v>
      </c>
      <c r="BA229" s="109">
        <v>66</v>
      </c>
      <c r="BB229" s="109">
        <v>-3</v>
      </c>
      <c r="BC229" s="109">
        <v>48</v>
      </c>
      <c r="BD229" s="109">
        <v>71</v>
      </c>
      <c r="BE229" s="109">
        <v>-4</v>
      </c>
      <c r="BF229" s="109">
        <v>46.87</v>
      </c>
      <c r="BG229" s="109">
        <v>69.55</v>
      </c>
      <c r="BH229" s="109">
        <v>-1.55</v>
      </c>
      <c r="BI229" s="109">
        <v>48</v>
      </c>
      <c r="BJ229" s="109">
        <v>75</v>
      </c>
      <c r="BK229" s="109">
        <v>-4</v>
      </c>
      <c r="BL229" s="109">
        <v>47</v>
      </c>
      <c r="BM229" s="109">
        <v>78</v>
      </c>
      <c r="BN229" s="109">
        <v>-10</v>
      </c>
      <c r="BP229" s="131">
        <v>40</v>
      </c>
      <c r="BQ229" s="131">
        <v>70</v>
      </c>
      <c r="BR229" s="131">
        <v>0</v>
      </c>
      <c r="BS229" s="131">
        <v>40</v>
      </c>
      <c r="BT229" s="130">
        <f t="shared" si="380"/>
        <v>0</v>
      </c>
      <c r="BU229" s="130">
        <f t="shared" si="381"/>
        <v>1</v>
      </c>
      <c r="BV229" s="130">
        <f t="shared" ca="1" si="382"/>
        <v>0</v>
      </c>
      <c r="BW229" s="130">
        <f t="shared" ca="1" si="383"/>
        <v>1.3762051776447373</v>
      </c>
      <c r="BX229" s="109" t="str">
        <f t="shared" ref="BX229:BX260" si="389">"C"&amp;ROUND(BP229,0)&amp;"M"&amp;ROUND(BQ229,0)&amp;"Y"&amp;ROUND(BR229,0)&amp;"K"&amp;ROUND(BS229,0)</f>
        <v>C40M70Y0K40</v>
      </c>
      <c r="BZ229" s="109">
        <v>42.62</v>
      </c>
      <c r="CA229" s="109">
        <v>11.63</v>
      </c>
      <c r="CB229" s="109">
        <v>-6.44</v>
      </c>
      <c r="CC229" s="109">
        <v>39.68</v>
      </c>
      <c r="CD229" s="109">
        <v>17</v>
      </c>
      <c r="CE229" s="109">
        <v>-11.84</v>
      </c>
      <c r="CF229" s="109">
        <v>44.66</v>
      </c>
      <c r="CG229" s="109">
        <v>15.58</v>
      </c>
      <c r="CH229" s="109">
        <v>-10.130000000000001</v>
      </c>
      <c r="CI229" s="109">
        <v>34.71</v>
      </c>
      <c r="CJ229" s="109">
        <v>19.66</v>
      </c>
      <c r="CK229" s="109">
        <v>-14.88</v>
      </c>
      <c r="CL229" s="109">
        <v>35.700000000000003</v>
      </c>
      <c r="CM229" s="109">
        <v>23</v>
      </c>
      <c r="CN229" s="109">
        <v>-16.03</v>
      </c>
      <c r="CO229" s="109">
        <v>34.840000000000003</v>
      </c>
      <c r="CP229" s="109">
        <v>22.48</v>
      </c>
      <c r="CQ229" s="109">
        <v>-13.52</v>
      </c>
      <c r="CR229" s="109">
        <v>35.659999999999997</v>
      </c>
      <c r="CS229" s="109">
        <v>23.24</v>
      </c>
      <c r="CT229" s="109">
        <v>-16.920000000000002</v>
      </c>
      <c r="CU229" s="109">
        <v>33.74</v>
      </c>
      <c r="CV229" s="109">
        <v>26.28</v>
      </c>
      <c r="CW229" s="109">
        <v>-18.829999999999998</v>
      </c>
      <c r="CX229" s="111"/>
      <c r="CY229" s="111"/>
      <c r="CZ229" s="111"/>
      <c r="DA229" s="111"/>
      <c r="DB229" s="111"/>
      <c r="DC229" s="111"/>
      <c r="DD229" s="111"/>
      <c r="DE229" s="111"/>
      <c r="DF229" s="111"/>
    </row>
    <row r="230" spans="2:110">
      <c r="B230" s="7"/>
      <c r="C230" s="7"/>
      <c r="D230" s="7"/>
      <c r="E230" s="7"/>
      <c r="F230" s="7"/>
      <c r="G230" s="7"/>
      <c r="H230" s="7"/>
      <c r="I230" s="7"/>
      <c r="J230" s="7"/>
      <c r="K230" s="7"/>
      <c r="L230" s="7"/>
      <c r="M230" s="7"/>
      <c r="N230" s="7"/>
      <c r="O230" s="7"/>
      <c r="P230" s="7"/>
      <c r="Q230" s="7"/>
      <c r="R230" s="64"/>
      <c r="S230" s="64"/>
      <c r="T230" s="64"/>
      <c r="U230" s="64"/>
      <c r="V230" s="64"/>
      <c r="W230" s="64"/>
      <c r="X230" s="64"/>
      <c r="Y230" s="64"/>
      <c r="Z230" s="64"/>
      <c r="AA230" s="64"/>
      <c r="AB230" s="64"/>
      <c r="AC230" s="64"/>
      <c r="AD230"/>
      <c r="AE230" s="134"/>
      <c r="AF230" s="134"/>
      <c r="AG230" s="131">
        <v>0</v>
      </c>
      <c r="AH230" s="131">
        <v>70</v>
      </c>
      <c r="AI230" s="131">
        <v>0</v>
      </c>
      <c r="AJ230" s="131">
        <v>0</v>
      </c>
      <c r="AK230" s="130">
        <f t="shared" ca="1" si="384"/>
        <v>0</v>
      </c>
      <c r="AL230" s="130">
        <f t="shared" ca="1" si="386"/>
        <v>0</v>
      </c>
      <c r="AM230" s="130">
        <f t="shared" ca="1" si="387"/>
        <v>0</v>
      </c>
      <c r="AN230" s="130">
        <f t="shared" ca="1" si="385"/>
        <v>0</v>
      </c>
      <c r="AO230" s="109" t="str">
        <f t="shared" si="388"/>
        <v>C0M70Y0K0</v>
      </c>
      <c r="AQ230" s="109">
        <v>60.11</v>
      </c>
      <c r="AR230" s="109">
        <v>40.39</v>
      </c>
      <c r="AS230" s="109">
        <v>-0.85</v>
      </c>
      <c r="AT230" s="109">
        <v>59.19</v>
      </c>
      <c r="AU230" s="109">
        <v>43.98</v>
      </c>
      <c r="AV230" s="109">
        <v>-3.31</v>
      </c>
      <c r="AW230" s="109">
        <v>64.17</v>
      </c>
      <c r="AX230" s="109">
        <v>47.28</v>
      </c>
      <c r="AY230" s="109">
        <v>-4.53</v>
      </c>
      <c r="AZ230" s="109">
        <v>56.42</v>
      </c>
      <c r="BA230" s="109">
        <v>49.11</v>
      </c>
      <c r="BB230" s="109">
        <v>-4.5199999999999996</v>
      </c>
      <c r="BC230" s="109">
        <v>58.94</v>
      </c>
      <c r="BD230" s="109">
        <v>50.06</v>
      </c>
      <c r="BE230" s="109">
        <v>-4.66</v>
      </c>
      <c r="BF230" s="109">
        <v>57.59</v>
      </c>
      <c r="BG230" s="109">
        <v>49.06</v>
      </c>
      <c r="BH230" s="109">
        <v>-1.74</v>
      </c>
      <c r="BI230" s="109">
        <v>59.97</v>
      </c>
      <c r="BJ230" s="109">
        <v>52.78</v>
      </c>
      <c r="BK230" s="109">
        <v>-6.79</v>
      </c>
      <c r="BL230" s="109">
        <v>60.16</v>
      </c>
      <c r="BM230" s="109">
        <v>55.96</v>
      </c>
      <c r="BN230" s="109">
        <v>-11.75</v>
      </c>
      <c r="BP230" s="131">
        <v>0</v>
      </c>
      <c r="BQ230" s="131">
        <v>0</v>
      </c>
      <c r="BR230" s="131">
        <v>75</v>
      </c>
      <c r="BS230" s="131">
        <v>0</v>
      </c>
      <c r="BT230" s="130">
        <f t="shared" si="380"/>
        <v>0</v>
      </c>
      <c r="BU230" s="130">
        <f t="shared" si="381"/>
        <v>1</v>
      </c>
      <c r="BV230" s="130">
        <f t="shared" ca="1" si="382"/>
        <v>0</v>
      </c>
      <c r="BW230" s="130">
        <f t="shared" ca="1" si="383"/>
        <v>1.9973589399820662</v>
      </c>
      <c r="BX230" s="109" t="str">
        <f t="shared" si="389"/>
        <v>C0M0Y75K0</v>
      </c>
      <c r="BZ230" s="109">
        <v>80.36</v>
      </c>
      <c r="CA230" s="109">
        <v>-2.0099999999999998</v>
      </c>
      <c r="CB230" s="109">
        <v>52.71</v>
      </c>
      <c r="CC230" s="109">
        <v>82.55</v>
      </c>
      <c r="CD230" s="109">
        <v>-2.7</v>
      </c>
      <c r="CE230" s="109">
        <v>58.3</v>
      </c>
      <c r="CF230" s="109">
        <v>90.19</v>
      </c>
      <c r="CG230" s="109">
        <v>-4.1399999999999997</v>
      </c>
      <c r="CH230" s="109">
        <v>60.43</v>
      </c>
      <c r="CI230" s="109">
        <v>83.94</v>
      </c>
      <c r="CJ230" s="109">
        <v>-3.3</v>
      </c>
      <c r="CK230" s="109">
        <v>65.58</v>
      </c>
      <c r="CL230" s="109">
        <v>87.68</v>
      </c>
      <c r="CM230" s="109">
        <v>-3.73</v>
      </c>
      <c r="CN230" s="109">
        <v>66.33</v>
      </c>
      <c r="CO230" s="109">
        <v>85.76</v>
      </c>
      <c r="CP230" s="109">
        <v>-3.66</v>
      </c>
      <c r="CQ230" s="109">
        <v>67.34</v>
      </c>
      <c r="CR230" s="109">
        <v>90.02</v>
      </c>
      <c r="CS230" s="109">
        <v>-3.7</v>
      </c>
      <c r="CT230" s="109">
        <v>68.06</v>
      </c>
      <c r="CU230" s="109">
        <v>91.88</v>
      </c>
      <c r="CV230" s="109">
        <v>-3.79</v>
      </c>
      <c r="CW230" s="109">
        <v>73.989999999999995</v>
      </c>
      <c r="CX230" s="111"/>
      <c r="CY230" s="111"/>
      <c r="CZ230" s="111"/>
      <c r="DA230" s="111"/>
      <c r="DB230" s="111"/>
      <c r="DC230" s="111"/>
      <c r="DD230" s="111"/>
      <c r="DE230" s="111"/>
      <c r="DF230" s="111"/>
    </row>
    <row r="231" spans="2:110">
      <c r="B231" s="7"/>
      <c r="C231" s="7"/>
      <c r="D231" s="7"/>
      <c r="E231" s="7"/>
      <c r="F231" s="7"/>
      <c r="G231" s="7"/>
      <c r="H231" s="7"/>
      <c r="I231" s="7"/>
      <c r="J231" s="7"/>
      <c r="K231" s="7"/>
      <c r="L231" s="7"/>
      <c r="M231" s="7"/>
      <c r="N231" s="7"/>
      <c r="O231" s="7"/>
      <c r="P231" s="7"/>
      <c r="Q231" s="7"/>
      <c r="R231" s="64"/>
      <c r="S231" s="64"/>
      <c r="T231" s="64"/>
      <c r="U231" s="64"/>
      <c r="V231" s="64"/>
      <c r="W231" s="64"/>
      <c r="X231" s="64"/>
      <c r="Y231" s="64"/>
      <c r="Z231" s="64"/>
      <c r="AA231" s="64"/>
      <c r="AB231" s="64"/>
      <c r="AC231" s="64"/>
      <c r="AD231"/>
      <c r="AE231" s="134"/>
      <c r="AF231" s="134"/>
      <c r="AG231" s="131">
        <v>0</v>
      </c>
      <c r="AH231" s="131">
        <v>30</v>
      </c>
      <c r="AI231" s="131">
        <v>0</v>
      </c>
      <c r="AJ231" s="131">
        <v>0</v>
      </c>
      <c r="AK231" s="130">
        <f t="shared" ca="1" si="384"/>
        <v>0</v>
      </c>
      <c r="AL231" s="130">
        <f t="shared" ca="1" si="386"/>
        <v>0</v>
      </c>
      <c r="AM231" s="130">
        <f t="shared" ca="1" si="387"/>
        <v>0</v>
      </c>
      <c r="AN231" s="130">
        <f t="shared" ca="1" si="385"/>
        <v>0</v>
      </c>
      <c r="AO231" s="109" t="str">
        <f t="shared" si="388"/>
        <v>C0M30Y0K0</v>
      </c>
      <c r="AQ231" s="109">
        <v>71.53</v>
      </c>
      <c r="AR231" s="109">
        <v>21.84</v>
      </c>
      <c r="AS231" s="109">
        <v>0.82</v>
      </c>
      <c r="AT231" s="109">
        <v>73.81</v>
      </c>
      <c r="AU231" s="109">
        <v>19.63</v>
      </c>
      <c r="AV231" s="109">
        <v>-1.32</v>
      </c>
      <c r="AW231" s="109">
        <v>80.45</v>
      </c>
      <c r="AX231" s="109">
        <v>22.09</v>
      </c>
      <c r="AY231" s="109">
        <v>-5.43</v>
      </c>
      <c r="AZ231" s="109">
        <v>73.98</v>
      </c>
      <c r="BA231" s="109">
        <v>21.38</v>
      </c>
      <c r="BB231" s="109">
        <v>-2.12</v>
      </c>
      <c r="BC231" s="109">
        <v>77.8</v>
      </c>
      <c r="BD231" s="109">
        <v>19.7</v>
      </c>
      <c r="BE231" s="109">
        <v>-2.89</v>
      </c>
      <c r="BF231" s="109">
        <v>76.069999999999993</v>
      </c>
      <c r="BG231" s="109">
        <v>19.32</v>
      </c>
      <c r="BH231" s="109">
        <v>0.69</v>
      </c>
      <c r="BI231" s="109">
        <v>80.06</v>
      </c>
      <c r="BJ231" s="109">
        <v>21.14</v>
      </c>
      <c r="BK231" s="109">
        <v>-6.71</v>
      </c>
      <c r="BL231" s="109">
        <v>81.37</v>
      </c>
      <c r="BM231" s="109">
        <v>23.13</v>
      </c>
      <c r="BN231" s="109">
        <v>-9.2200000000000006</v>
      </c>
      <c r="BP231" s="131">
        <v>100</v>
      </c>
      <c r="BQ231" s="131">
        <v>0</v>
      </c>
      <c r="BR231" s="131">
        <v>100</v>
      </c>
      <c r="BS231" s="131">
        <v>0</v>
      </c>
      <c r="BT231" s="130">
        <f t="shared" si="380"/>
        <v>0</v>
      </c>
      <c r="BU231" s="130">
        <f t="shared" si="381"/>
        <v>1</v>
      </c>
      <c r="BV231" s="130">
        <f t="shared" ca="1" si="382"/>
        <v>0</v>
      </c>
      <c r="BW231" s="130">
        <f t="shared" ca="1" si="383"/>
        <v>1.9897319142477714</v>
      </c>
      <c r="BX231" s="109" t="str">
        <f t="shared" si="389"/>
        <v>C100M0Y100K0</v>
      </c>
      <c r="BZ231" s="109">
        <v>55</v>
      </c>
      <c r="CA231" s="109">
        <v>-35</v>
      </c>
      <c r="CB231" s="109">
        <v>17</v>
      </c>
      <c r="CC231" s="109">
        <v>51</v>
      </c>
      <c r="CD231" s="109">
        <v>-44</v>
      </c>
      <c r="CE231" s="109">
        <v>19</v>
      </c>
      <c r="CF231" s="109">
        <v>54</v>
      </c>
      <c r="CG231" s="109">
        <v>-43</v>
      </c>
      <c r="CH231" s="109">
        <v>15</v>
      </c>
      <c r="CI231" s="109">
        <v>49</v>
      </c>
      <c r="CJ231" s="109">
        <v>-54</v>
      </c>
      <c r="CK231" s="109">
        <v>24</v>
      </c>
      <c r="CL231" s="109">
        <v>51</v>
      </c>
      <c r="CM231" s="109">
        <v>-62</v>
      </c>
      <c r="CN231" s="109">
        <v>26</v>
      </c>
      <c r="CO231" s="109">
        <v>49.81</v>
      </c>
      <c r="CP231" s="109">
        <v>-60.65</v>
      </c>
      <c r="CQ231" s="109">
        <v>27.2</v>
      </c>
      <c r="CR231" s="109">
        <v>50</v>
      </c>
      <c r="CS231" s="109">
        <v>-66</v>
      </c>
      <c r="CT231" s="109">
        <v>26</v>
      </c>
      <c r="CU231" s="109">
        <v>50</v>
      </c>
      <c r="CV231" s="109">
        <v>-72</v>
      </c>
      <c r="CW231" s="109">
        <v>29</v>
      </c>
      <c r="CX231" s="111"/>
      <c r="CY231" s="111"/>
      <c r="CZ231" s="111"/>
      <c r="DA231" s="111"/>
      <c r="DB231" s="111"/>
      <c r="DC231" s="111"/>
      <c r="DD231" s="111"/>
      <c r="DE231" s="111"/>
      <c r="DF231" s="111"/>
    </row>
    <row r="232" spans="2:110">
      <c r="B232" s="7"/>
      <c r="C232" s="7"/>
      <c r="D232" s="7"/>
      <c r="E232" s="7"/>
      <c r="F232" s="7"/>
      <c r="G232" s="7"/>
      <c r="H232" s="7"/>
      <c r="I232" s="7"/>
      <c r="J232" s="7"/>
      <c r="K232" s="7"/>
      <c r="L232" s="7"/>
      <c r="M232" s="7"/>
      <c r="N232" s="7"/>
      <c r="O232" s="7"/>
      <c r="P232" s="7"/>
      <c r="Q232" s="7"/>
      <c r="R232" s="64"/>
      <c r="S232" s="64"/>
      <c r="T232" s="64"/>
      <c r="U232" s="64"/>
      <c r="V232" s="64"/>
      <c r="W232" s="64"/>
      <c r="X232" s="64"/>
      <c r="Y232" s="64"/>
      <c r="Z232" s="64"/>
      <c r="AA232" s="64"/>
      <c r="AB232" s="64"/>
      <c r="AC232" s="64"/>
      <c r="AD232"/>
      <c r="AE232" s="134"/>
      <c r="AF232" s="134"/>
      <c r="AG232" s="131">
        <v>0</v>
      </c>
      <c r="AH232" s="131">
        <v>0</v>
      </c>
      <c r="AI232" s="131">
        <v>100</v>
      </c>
      <c r="AJ232" s="131">
        <v>60</v>
      </c>
      <c r="AK232" s="130">
        <f t="shared" ca="1" si="384"/>
        <v>0</v>
      </c>
      <c r="AL232" s="130">
        <f t="shared" ca="1" si="386"/>
        <v>0</v>
      </c>
      <c r="AM232" s="130">
        <f t="shared" ca="1" si="387"/>
        <v>0</v>
      </c>
      <c r="AN232" s="130">
        <f t="shared" ca="1" si="385"/>
        <v>0</v>
      </c>
      <c r="AO232" s="109" t="str">
        <f t="shared" si="388"/>
        <v>C0M0Y100K60</v>
      </c>
      <c r="AQ232" s="109">
        <v>49.07</v>
      </c>
      <c r="AR232" s="109">
        <v>-1.17</v>
      </c>
      <c r="AS232" s="109">
        <v>25.26</v>
      </c>
      <c r="AT232" s="109">
        <v>47.32</v>
      </c>
      <c r="AU232" s="109">
        <v>-2.75</v>
      </c>
      <c r="AV232" s="109">
        <v>30.39</v>
      </c>
      <c r="AW232" s="109">
        <v>50.27</v>
      </c>
      <c r="AX232" s="109">
        <v>-4.8099999999999996</v>
      </c>
      <c r="AY232" s="109">
        <v>25.37</v>
      </c>
      <c r="AZ232" s="109">
        <v>45.46</v>
      </c>
      <c r="BA232" s="109">
        <v>-2.08</v>
      </c>
      <c r="BB232" s="109">
        <v>39.299999999999997</v>
      </c>
      <c r="BC232" s="109">
        <v>49.03</v>
      </c>
      <c r="BD232" s="109">
        <v>-3.25</v>
      </c>
      <c r="BE232" s="109">
        <v>47.37</v>
      </c>
      <c r="BF232" s="109">
        <v>47.88</v>
      </c>
      <c r="BG232" s="109">
        <v>-3.18</v>
      </c>
      <c r="BH232" s="109">
        <v>47.3</v>
      </c>
      <c r="BI232" s="109">
        <v>49.44</v>
      </c>
      <c r="BJ232" s="109">
        <v>-4.7</v>
      </c>
      <c r="BK232" s="109">
        <v>48.48</v>
      </c>
      <c r="BL232" s="109">
        <v>48.51</v>
      </c>
      <c r="BM232" s="109">
        <v>-4.8</v>
      </c>
      <c r="BN232" s="109">
        <v>54.29</v>
      </c>
      <c r="BP232" s="131">
        <v>0</v>
      </c>
      <c r="BQ232" s="131">
        <v>70</v>
      </c>
      <c r="BR232" s="131">
        <v>40</v>
      </c>
      <c r="BS232" s="131">
        <v>40</v>
      </c>
      <c r="BT232" s="130">
        <f t="shared" si="380"/>
        <v>0</v>
      </c>
      <c r="BU232" s="130">
        <f t="shared" si="381"/>
        <v>1</v>
      </c>
      <c r="BV232" s="130">
        <f t="shared" ca="1" si="382"/>
        <v>0</v>
      </c>
      <c r="BW232" s="130">
        <f t="shared" ca="1" si="383"/>
        <v>1.7613948170543043</v>
      </c>
      <c r="BX232" s="109" t="str">
        <f t="shared" si="389"/>
        <v>C0M70Y40K40</v>
      </c>
      <c r="BZ232" s="109">
        <v>46.97</v>
      </c>
      <c r="CA232" s="109">
        <v>22.3</v>
      </c>
      <c r="CB232" s="109">
        <v>10.65</v>
      </c>
      <c r="CC232" s="109">
        <v>44.39</v>
      </c>
      <c r="CD232" s="109">
        <v>26.03</v>
      </c>
      <c r="CE232" s="109">
        <v>9.07</v>
      </c>
      <c r="CF232" s="109">
        <v>49.05</v>
      </c>
      <c r="CG232" s="109">
        <v>23.86</v>
      </c>
      <c r="CH232" s="109">
        <v>7.07</v>
      </c>
      <c r="CI232" s="109">
        <v>40.25</v>
      </c>
      <c r="CJ232" s="109">
        <v>30.95</v>
      </c>
      <c r="CK232" s="109">
        <v>10.66</v>
      </c>
      <c r="CL232" s="109">
        <v>42.34</v>
      </c>
      <c r="CM232" s="109">
        <v>33.24</v>
      </c>
      <c r="CN232" s="109">
        <v>12.37</v>
      </c>
      <c r="CO232" s="109">
        <v>41.34</v>
      </c>
      <c r="CP232" s="109">
        <v>32.53</v>
      </c>
      <c r="CQ232" s="109">
        <v>13.82</v>
      </c>
      <c r="CR232" s="109">
        <v>42.56</v>
      </c>
      <c r="CS232" s="109">
        <v>33.89</v>
      </c>
      <c r="CT232" s="109">
        <v>12.27</v>
      </c>
      <c r="CU232" s="109">
        <v>41.45</v>
      </c>
      <c r="CV232" s="109">
        <v>37.46</v>
      </c>
      <c r="CW232" s="109">
        <v>12.37</v>
      </c>
      <c r="CX232" s="111"/>
      <c r="CY232" s="111"/>
      <c r="CZ232" s="111"/>
      <c r="DA232" s="111"/>
      <c r="DB232" s="111"/>
      <c r="DC232" s="111"/>
      <c r="DD232" s="111"/>
      <c r="DE232" s="111"/>
      <c r="DF232" s="111"/>
    </row>
    <row r="233" spans="2:110">
      <c r="B233" s="7"/>
      <c r="C233" s="7"/>
      <c r="D233" s="7"/>
      <c r="E233" s="7"/>
      <c r="F233" s="7"/>
      <c r="G233" s="7"/>
      <c r="H233" s="7"/>
      <c r="I233" s="7"/>
      <c r="J233" s="7"/>
      <c r="K233" s="7"/>
      <c r="L233" s="7"/>
      <c r="M233" s="7"/>
      <c r="N233" s="7"/>
      <c r="O233" s="7"/>
      <c r="P233" s="7"/>
      <c r="Q233" s="7"/>
      <c r="R233" s="64"/>
      <c r="S233" s="64"/>
      <c r="T233" s="64"/>
      <c r="U233" s="64"/>
      <c r="V233" s="64"/>
      <c r="W233" s="64"/>
      <c r="X233" s="64"/>
      <c r="Y233" s="64"/>
      <c r="Z233" s="64"/>
      <c r="AA233" s="64"/>
      <c r="AB233" s="64"/>
      <c r="AC233" s="64"/>
      <c r="AD233"/>
      <c r="AE233" s="134"/>
      <c r="AF233" s="134"/>
      <c r="AG233" s="131">
        <v>0</v>
      </c>
      <c r="AH233" s="131">
        <v>0</v>
      </c>
      <c r="AI233" s="131">
        <v>100</v>
      </c>
      <c r="AJ233" s="131">
        <v>0</v>
      </c>
      <c r="AK233" s="130">
        <f t="shared" ca="1" si="384"/>
        <v>0</v>
      </c>
      <c r="AL233" s="130">
        <f t="shared" ca="1" si="386"/>
        <v>0</v>
      </c>
      <c r="AM233" s="130">
        <f t="shared" ca="1" si="387"/>
        <v>0</v>
      </c>
      <c r="AN233" s="130">
        <f t="shared" ca="1" si="385"/>
        <v>0</v>
      </c>
      <c r="AO233" s="109" t="str">
        <f t="shared" si="388"/>
        <v>C0M0Y100K0</v>
      </c>
      <c r="AQ233" s="109">
        <v>80</v>
      </c>
      <c r="AR233" s="109">
        <v>-2</v>
      </c>
      <c r="AS233" s="109">
        <v>60</v>
      </c>
      <c r="AT233" s="109">
        <v>82</v>
      </c>
      <c r="AU233" s="109">
        <v>-2</v>
      </c>
      <c r="AV233" s="109">
        <v>72</v>
      </c>
      <c r="AW233" s="109">
        <v>89</v>
      </c>
      <c r="AX233" s="109">
        <v>-3</v>
      </c>
      <c r="AY233" s="109">
        <v>76</v>
      </c>
      <c r="AZ233" s="109">
        <v>83</v>
      </c>
      <c r="BA233" s="109">
        <v>-3</v>
      </c>
      <c r="BB233" s="109">
        <v>83</v>
      </c>
      <c r="BC233" s="109">
        <v>87</v>
      </c>
      <c r="BD233" s="109">
        <v>-4</v>
      </c>
      <c r="BE233" s="109">
        <v>88</v>
      </c>
      <c r="BF233" s="109">
        <v>85.1</v>
      </c>
      <c r="BG233" s="109">
        <v>-3.92</v>
      </c>
      <c r="BH233" s="109">
        <v>87.97</v>
      </c>
      <c r="BI233" s="109">
        <v>89</v>
      </c>
      <c r="BJ233" s="109">
        <v>-4</v>
      </c>
      <c r="BK233" s="109">
        <v>93</v>
      </c>
      <c r="BL233" s="109">
        <v>90</v>
      </c>
      <c r="BM233" s="109">
        <v>-4</v>
      </c>
      <c r="BN233" s="109">
        <v>103</v>
      </c>
      <c r="BP233" s="131">
        <v>0</v>
      </c>
      <c r="BQ233" s="131">
        <v>0</v>
      </c>
      <c r="BR233" s="131">
        <v>50</v>
      </c>
      <c r="BS233" s="131">
        <v>0</v>
      </c>
      <c r="BT233" s="130">
        <f t="shared" si="380"/>
        <v>0</v>
      </c>
      <c r="BU233" s="130">
        <f t="shared" si="381"/>
        <v>1</v>
      </c>
      <c r="BV233" s="130">
        <f t="shared" ca="1" si="382"/>
        <v>0</v>
      </c>
      <c r="BW233" s="130">
        <f t="shared" ca="1" si="383"/>
        <v>1.9663264623136469</v>
      </c>
      <c r="BX233" s="109" t="str">
        <f t="shared" si="389"/>
        <v>C0M0Y50K0</v>
      </c>
      <c r="BZ233" s="109">
        <v>81.38</v>
      </c>
      <c r="CA233" s="109">
        <v>-1.77</v>
      </c>
      <c r="CB233" s="109">
        <v>40.89</v>
      </c>
      <c r="CC233" s="109">
        <v>83.64</v>
      </c>
      <c r="CD233" s="109">
        <v>-2.73</v>
      </c>
      <c r="CE233" s="109">
        <v>40.340000000000003</v>
      </c>
      <c r="CF233" s="109">
        <v>91.73</v>
      </c>
      <c r="CG233" s="109">
        <v>-4.0999999999999996</v>
      </c>
      <c r="CH233" s="109">
        <v>39.82</v>
      </c>
      <c r="CI233" s="109">
        <v>85.36</v>
      </c>
      <c r="CJ233" s="109">
        <v>-2.98</v>
      </c>
      <c r="CK233" s="109">
        <v>44.4</v>
      </c>
      <c r="CL233" s="109">
        <v>88.92</v>
      </c>
      <c r="CM233" s="109">
        <v>-2.91</v>
      </c>
      <c r="CN233" s="109">
        <v>42.21</v>
      </c>
      <c r="CO233" s="109">
        <v>86.98</v>
      </c>
      <c r="CP233" s="109">
        <v>-2.85</v>
      </c>
      <c r="CQ233" s="109">
        <v>44.32</v>
      </c>
      <c r="CR233" s="109">
        <v>91.49</v>
      </c>
      <c r="CS233" s="109">
        <v>-2.75</v>
      </c>
      <c r="CT233" s="109">
        <v>41.34</v>
      </c>
      <c r="CU233" s="109">
        <v>93.75</v>
      </c>
      <c r="CV233" s="109">
        <v>-2.93</v>
      </c>
      <c r="CW233" s="109">
        <v>44.96</v>
      </c>
      <c r="CX233" s="111"/>
      <c r="CY233" s="111"/>
      <c r="CZ233" s="111"/>
      <c r="DA233" s="111"/>
      <c r="DB233" s="111"/>
      <c r="DC233" s="111"/>
      <c r="DD233" s="111"/>
      <c r="DE233" s="111"/>
      <c r="DF233" s="111"/>
    </row>
    <row r="234" spans="2:110">
      <c r="B234" s="7"/>
      <c r="C234" s="7"/>
      <c r="D234" s="7"/>
      <c r="E234" s="7"/>
      <c r="F234" s="7"/>
      <c r="G234" s="7"/>
      <c r="H234" s="7"/>
      <c r="I234" s="7"/>
      <c r="J234" s="7"/>
      <c r="K234" s="7"/>
      <c r="L234" s="7"/>
      <c r="M234" s="7"/>
      <c r="N234" s="7"/>
      <c r="O234" s="7"/>
      <c r="P234" s="7"/>
      <c r="Q234" s="7"/>
      <c r="R234" s="64"/>
      <c r="S234" s="64"/>
      <c r="T234" s="64"/>
      <c r="U234" s="64"/>
      <c r="V234" s="64"/>
      <c r="W234" s="64"/>
      <c r="X234" s="64"/>
      <c r="Y234" s="64"/>
      <c r="Z234" s="64"/>
      <c r="AA234" s="64"/>
      <c r="AB234" s="64"/>
      <c r="AC234" s="64"/>
      <c r="AD234"/>
      <c r="AE234" s="134"/>
      <c r="AF234" s="134"/>
      <c r="AG234" s="131">
        <v>0</v>
      </c>
      <c r="AH234" s="131">
        <v>0</v>
      </c>
      <c r="AI234" s="131">
        <v>70</v>
      </c>
      <c r="AJ234" s="131">
        <v>0</v>
      </c>
      <c r="AK234" s="130">
        <f t="shared" ca="1" si="384"/>
        <v>0</v>
      </c>
      <c r="AL234" s="130">
        <f t="shared" ca="1" si="386"/>
        <v>0</v>
      </c>
      <c r="AM234" s="130">
        <f t="shared" ca="1" si="387"/>
        <v>0</v>
      </c>
      <c r="AN234" s="130">
        <f t="shared" ca="1" si="385"/>
        <v>0</v>
      </c>
      <c r="AO234" s="109" t="str">
        <f t="shared" si="388"/>
        <v>C0M0Y70K0</v>
      </c>
      <c r="AQ234" s="109">
        <v>80.53</v>
      </c>
      <c r="AR234" s="109">
        <v>-2.02</v>
      </c>
      <c r="AS234" s="109">
        <v>50.7</v>
      </c>
      <c r="AT234" s="109">
        <v>82.74</v>
      </c>
      <c r="AU234" s="109">
        <v>-2.78</v>
      </c>
      <c r="AV234" s="109">
        <v>54.8</v>
      </c>
      <c r="AW234" s="109">
        <v>90.49</v>
      </c>
      <c r="AX234" s="109">
        <v>-4.3</v>
      </c>
      <c r="AY234" s="109">
        <v>56.4</v>
      </c>
      <c r="AZ234" s="109">
        <v>84.21</v>
      </c>
      <c r="BA234" s="109">
        <v>-3.3</v>
      </c>
      <c r="BB234" s="109">
        <v>61.26</v>
      </c>
      <c r="BC234" s="109">
        <v>87.9</v>
      </c>
      <c r="BD234" s="109">
        <v>-3.62</v>
      </c>
      <c r="BE234" s="109">
        <v>61.44</v>
      </c>
      <c r="BF234" s="109">
        <v>85.98</v>
      </c>
      <c r="BG234" s="109">
        <v>-3.55</v>
      </c>
      <c r="BH234" s="109">
        <v>62.67</v>
      </c>
      <c r="BI234" s="109">
        <v>90.29</v>
      </c>
      <c r="BJ234" s="109">
        <v>-3.55</v>
      </c>
      <c r="BK234" s="109">
        <v>62.44</v>
      </c>
      <c r="BL234" s="109">
        <v>92.28</v>
      </c>
      <c r="BM234" s="109">
        <v>-3.68</v>
      </c>
      <c r="BN234" s="109">
        <v>67.77</v>
      </c>
      <c r="BP234" s="131">
        <v>75</v>
      </c>
      <c r="BQ234" s="131">
        <v>0</v>
      </c>
      <c r="BR234" s="131">
        <v>75</v>
      </c>
      <c r="BS234" s="131">
        <v>0</v>
      </c>
      <c r="BT234" s="130">
        <f t="shared" si="380"/>
        <v>0</v>
      </c>
      <c r="BU234" s="130">
        <f t="shared" si="381"/>
        <v>1</v>
      </c>
      <c r="BV234" s="130">
        <f t="shared" ca="1" si="382"/>
        <v>0</v>
      </c>
      <c r="BW234" s="130">
        <f t="shared" ca="1" si="383"/>
        <v>1.9589961485894936</v>
      </c>
      <c r="BX234" s="109" t="str">
        <f t="shared" si="389"/>
        <v>C75M0Y75K0</v>
      </c>
      <c r="BZ234" s="109">
        <v>58.21</v>
      </c>
      <c r="CA234" s="109">
        <v>-29.92</v>
      </c>
      <c r="CB234" s="109">
        <v>17.46</v>
      </c>
      <c r="CC234" s="109">
        <v>58.35</v>
      </c>
      <c r="CD234" s="109">
        <v>-34.409999999999997</v>
      </c>
      <c r="CE234" s="109">
        <v>18.25</v>
      </c>
      <c r="CF234" s="109">
        <v>61.64</v>
      </c>
      <c r="CG234" s="109">
        <v>-35.630000000000003</v>
      </c>
      <c r="CH234" s="109">
        <v>15.32</v>
      </c>
      <c r="CI234" s="109">
        <v>57.07</v>
      </c>
      <c r="CJ234" s="109">
        <v>-40.99</v>
      </c>
      <c r="CK234" s="109">
        <v>23.23</v>
      </c>
      <c r="CL234" s="109">
        <v>61.19</v>
      </c>
      <c r="CM234" s="109">
        <v>-43.34</v>
      </c>
      <c r="CN234" s="109">
        <v>21.91</v>
      </c>
      <c r="CO234" s="109">
        <v>59.79</v>
      </c>
      <c r="CP234" s="109">
        <v>-42.45</v>
      </c>
      <c r="CQ234" s="109">
        <v>23.75</v>
      </c>
      <c r="CR234" s="109">
        <v>60.84</v>
      </c>
      <c r="CS234" s="109">
        <v>-46.3</v>
      </c>
      <c r="CT234" s="109">
        <v>21.78</v>
      </c>
      <c r="CU234" s="109">
        <v>61.78</v>
      </c>
      <c r="CV234" s="109">
        <v>-49.41</v>
      </c>
      <c r="CW234" s="109">
        <v>23.32</v>
      </c>
      <c r="CX234" s="111"/>
      <c r="CY234" s="111"/>
      <c r="CZ234" s="111"/>
      <c r="DA234" s="111"/>
      <c r="DB234" s="111"/>
      <c r="DC234" s="111"/>
      <c r="DD234" s="111"/>
      <c r="DE234" s="111"/>
      <c r="DF234" s="111"/>
    </row>
    <row r="235" spans="2:110">
      <c r="B235" s="7"/>
      <c r="C235" s="7"/>
      <c r="D235" s="7"/>
      <c r="E235" s="7"/>
      <c r="F235" s="7"/>
      <c r="G235" s="7"/>
      <c r="H235" s="7"/>
      <c r="I235" s="7"/>
      <c r="J235" s="7"/>
      <c r="K235" s="7"/>
      <c r="L235" s="7"/>
      <c r="M235" s="7"/>
      <c r="N235" s="7"/>
      <c r="O235" s="7"/>
      <c r="P235" s="7"/>
      <c r="Q235" s="7"/>
      <c r="R235" s="64"/>
      <c r="S235" s="64"/>
      <c r="T235" s="64"/>
      <c r="U235" s="64"/>
      <c r="V235" s="64"/>
      <c r="W235" s="64"/>
      <c r="X235" s="64"/>
      <c r="Y235" s="64"/>
      <c r="Z235" s="64"/>
      <c r="AA235" s="64"/>
      <c r="AB235" s="64"/>
      <c r="AC235" s="64"/>
      <c r="AD235"/>
      <c r="AE235" s="134"/>
      <c r="AF235" s="134"/>
      <c r="AG235" s="131">
        <v>0</v>
      </c>
      <c r="AH235" s="131">
        <v>0</v>
      </c>
      <c r="AI235" s="131">
        <v>30</v>
      </c>
      <c r="AJ235" s="131">
        <v>0</v>
      </c>
      <c r="AK235" s="130">
        <f t="shared" ca="1" si="384"/>
        <v>0</v>
      </c>
      <c r="AL235" s="130">
        <f t="shared" ca="1" si="386"/>
        <v>0</v>
      </c>
      <c r="AM235" s="130">
        <f t="shared" ca="1" si="387"/>
        <v>0</v>
      </c>
      <c r="AN235" s="130">
        <f t="shared" ca="1" si="385"/>
        <v>0</v>
      </c>
      <c r="AO235" s="109" t="str">
        <f t="shared" si="388"/>
        <v>C0M0Y30K0</v>
      </c>
      <c r="AQ235" s="109">
        <v>82.59</v>
      </c>
      <c r="AR235" s="109">
        <v>-0.98</v>
      </c>
      <c r="AS235" s="109">
        <v>28.5</v>
      </c>
      <c r="AT235" s="109">
        <v>84.81</v>
      </c>
      <c r="AU235" s="109">
        <v>-2.0299999999999998</v>
      </c>
      <c r="AV235" s="109">
        <v>25.94</v>
      </c>
      <c r="AW235" s="109">
        <v>92.97</v>
      </c>
      <c r="AX235" s="109">
        <v>-2.67</v>
      </c>
      <c r="AY235" s="109">
        <v>23.05</v>
      </c>
      <c r="AZ235" s="109">
        <v>86.67</v>
      </c>
      <c r="BA235" s="109">
        <v>-2.11</v>
      </c>
      <c r="BB235" s="109">
        <v>28.23</v>
      </c>
      <c r="BC235" s="109">
        <v>90.07</v>
      </c>
      <c r="BD235" s="109">
        <v>-1.91</v>
      </c>
      <c r="BE235" s="109">
        <v>24.7</v>
      </c>
      <c r="BF235" s="109">
        <v>88.11</v>
      </c>
      <c r="BG235" s="109">
        <v>-1.87</v>
      </c>
      <c r="BH235" s="109">
        <v>27.6</v>
      </c>
      <c r="BI235" s="109">
        <v>92.8</v>
      </c>
      <c r="BJ235" s="109">
        <v>-1.48</v>
      </c>
      <c r="BK235" s="109">
        <v>22.4</v>
      </c>
      <c r="BL235" s="109">
        <v>95.09</v>
      </c>
      <c r="BM235" s="109">
        <v>-1.67</v>
      </c>
      <c r="BN235" s="109">
        <v>24.54</v>
      </c>
      <c r="BP235" s="131">
        <v>0</v>
      </c>
      <c r="BQ235" s="131">
        <v>40</v>
      </c>
      <c r="BR235" s="131">
        <v>70</v>
      </c>
      <c r="BS235" s="131">
        <v>40</v>
      </c>
      <c r="BT235" s="130">
        <f t="shared" si="380"/>
        <v>0</v>
      </c>
      <c r="BU235" s="130">
        <f t="shared" si="381"/>
        <v>1</v>
      </c>
      <c r="BV235" s="130">
        <f t="shared" ca="1" si="382"/>
        <v>0</v>
      </c>
      <c r="BW235" s="130">
        <f t="shared" ca="1" si="383"/>
        <v>1.6230957650846869</v>
      </c>
      <c r="BX235" s="109" t="str">
        <f t="shared" si="389"/>
        <v>C0M40Y70K40</v>
      </c>
      <c r="BZ235" s="109">
        <v>50.78</v>
      </c>
      <c r="CA235" s="109">
        <v>13.61</v>
      </c>
      <c r="CB235" s="109">
        <v>20.43</v>
      </c>
      <c r="CC235" s="109">
        <v>49.81</v>
      </c>
      <c r="CD235" s="109">
        <v>13.82</v>
      </c>
      <c r="CE235" s="109">
        <v>22.78</v>
      </c>
      <c r="CF235" s="109">
        <v>54.35</v>
      </c>
      <c r="CG235" s="109">
        <v>11.18</v>
      </c>
      <c r="CH235" s="109">
        <v>20.05</v>
      </c>
      <c r="CI235" s="109">
        <v>47.51</v>
      </c>
      <c r="CJ235" s="109">
        <v>16.37</v>
      </c>
      <c r="CK235" s="109">
        <v>28.45</v>
      </c>
      <c r="CL235" s="109">
        <v>51.09</v>
      </c>
      <c r="CM235" s="109">
        <v>15.8</v>
      </c>
      <c r="CN235" s="109">
        <v>32.630000000000003</v>
      </c>
      <c r="CO235" s="109">
        <v>49.9</v>
      </c>
      <c r="CP235" s="109">
        <v>15.47</v>
      </c>
      <c r="CQ235" s="109">
        <v>33.5</v>
      </c>
      <c r="CR235" s="109">
        <v>51.44</v>
      </c>
      <c r="CS235" s="109">
        <v>15.64</v>
      </c>
      <c r="CT235" s="109">
        <v>32.630000000000003</v>
      </c>
      <c r="CU235" s="109">
        <v>50.89</v>
      </c>
      <c r="CV235" s="109">
        <v>18.39</v>
      </c>
      <c r="CW235" s="109">
        <v>35.700000000000003</v>
      </c>
      <c r="CX235" s="111"/>
      <c r="CY235" s="111"/>
      <c r="CZ235" s="111"/>
      <c r="DA235" s="111"/>
      <c r="DB235" s="111"/>
      <c r="DC235" s="111"/>
      <c r="DD235" s="111"/>
      <c r="DE235" s="111"/>
      <c r="DF235" s="111"/>
    </row>
    <row r="236" spans="2:110">
      <c r="B236" s="7"/>
      <c r="C236" s="7"/>
      <c r="D236" s="7"/>
      <c r="E236" s="7"/>
      <c r="F236" s="7"/>
      <c r="G236" s="7"/>
      <c r="H236" s="7"/>
      <c r="I236" s="7"/>
      <c r="J236" s="7"/>
      <c r="K236" s="7"/>
      <c r="L236" s="7"/>
      <c r="M236" s="7"/>
      <c r="N236" s="7"/>
      <c r="O236" s="7"/>
      <c r="P236" s="7"/>
      <c r="Q236" s="7"/>
      <c r="R236" s="64"/>
      <c r="S236" s="64"/>
      <c r="T236" s="64"/>
      <c r="U236" s="64"/>
      <c r="V236" s="64"/>
      <c r="W236" s="64"/>
      <c r="X236" s="64"/>
      <c r="Y236" s="64"/>
      <c r="Z236" s="64"/>
      <c r="AA236" s="64"/>
      <c r="AB236" s="64"/>
      <c r="AC236" s="64"/>
      <c r="AD236"/>
      <c r="AE236" s="134"/>
      <c r="AF236" s="134"/>
      <c r="AG236" s="131">
        <v>100</v>
      </c>
      <c r="AH236" s="131">
        <v>0</v>
      </c>
      <c r="AI236" s="131">
        <v>40</v>
      </c>
      <c r="AJ236" s="131">
        <v>0</v>
      </c>
      <c r="AK236" s="130">
        <f t="shared" ca="1" si="384"/>
        <v>0</v>
      </c>
      <c r="AL236" s="130">
        <f t="shared" ca="1" si="386"/>
        <v>0</v>
      </c>
      <c r="AM236" s="130">
        <f t="shared" ca="1" si="387"/>
        <v>0</v>
      </c>
      <c r="AN236" s="130">
        <f t="shared" ca="1" si="385"/>
        <v>0</v>
      </c>
      <c r="AO236" s="109" t="str">
        <f t="shared" si="388"/>
        <v>C100M0Y40K0</v>
      </c>
      <c r="AQ236" s="109">
        <v>56.03</v>
      </c>
      <c r="AR236" s="109">
        <v>-30.86</v>
      </c>
      <c r="AS236" s="109">
        <v>-1.1399999999999999</v>
      </c>
      <c r="AT236" s="109">
        <v>55.04</v>
      </c>
      <c r="AU236" s="109">
        <v>-37.229999999999997</v>
      </c>
      <c r="AV236" s="109">
        <v>-8.49</v>
      </c>
      <c r="AW236" s="109">
        <v>57.67</v>
      </c>
      <c r="AX236" s="109">
        <v>-37.1</v>
      </c>
      <c r="AY236" s="109">
        <v>-14.73</v>
      </c>
      <c r="AZ236" s="109">
        <v>52.46</v>
      </c>
      <c r="BA236" s="109">
        <v>-46.73</v>
      </c>
      <c r="BB236" s="109">
        <v>-9.1300000000000008</v>
      </c>
      <c r="BC236" s="109">
        <v>55.78</v>
      </c>
      <c r="BD236" s="109">
        <v>-48.6</v>
      </c>
      <c r="BE236" s="109">
        <v>-15.81</v>
      </c>
      <c r="BF236" s="109">
        <v>54.49</v>
      </c>
      <c r="BG236" s="109">
        <v>-47.58</v>
      </c>
      <c r="BH236" s="109">
        <v>-12.54</v>
      </c>
      <c r="BI236" s="109">
        <v>54.26</v>
      </c>
      <c r="BJ236" s="109">
        <v>-52.09</v>
      </c>
      <c r="BK236" s="109">
        <v>-19.059999999999999</v>
      </c>
      <c r="BL236" s="109">
        <v>52.78</v>
      </c>
      <c r="BM236" s="109">
        <v>-58.09</v>
      </c>
      <c r="BN236" s="109">
        <v>-22.16</v>
      </c>
      <c r="BP236" s="131">
        <v>0</v>
      </c>
      <c r="BQ236" s="131">
        <v>0</v>
      </c>
      <c r="BR236" s="131">
        <v>25</v>
      </c>
      <c r="BS236" s="131">
        <v>0</v>
      </c>
      <c r="BT236" s="130">
        <f t="shared" si="380"/>
        <v>0</v>
      </c>
      <c r="BU236" s="130">
        <f t="shared" si="381"/>
        <v>1</v>
      </c>
      <c r="BV236" s="130">
        <f t="shared" ca="1" si="382"/>
        <v>0</v>
      </c>
      <c r="BW236" s="130">
        <f t="shared" ca="1" si="383"/>
        <v>1.1225638639060627</v>
      </c>
      <c r="BX236" s="109" t="str">
        <f t="shared" si="389"/>
        <v>C0M0Y25K0</v>
      </c>
      <c r="BZ236" s="109">
        <v>82.95</v>
      </c>
      <c r="CA236" s="109">
        <v>-0.72</v>
      </c>
      <c r="CB236" s="109">
        <v>25</v>
      </c>
      <c r="CC236" s="109">
        <v>85.14</v>
      </c>
      <c r="CD236" s="109">
        <v>-1.77</v>
      </c>
      <c r="CE236" s="109">
        <v>22.27</v>
      </c>
      <c r="CF236" s="109">
        <v>93.29</v>
      </c>
      <c r="CG236" s="109">
        <v>-2.1800000000000002</v>
      </c>
      <c r="CH236" s="109">
        <v>18.8</v>
      </c>
      <c r="CI236" s="109">
        <v>87.03</v>
      </c>
      <c r="CJ236" s="109">
        <v>-1.83</v>
      </c>
      <c r="CK236" s="109">
        <v>24.18</v>
      </c>
      <c r="CL236" s="109">
        <v>90.37</v>
      </c>
      <c r="CM236" s="109">
        <v>-1.62</v>
      </c>
      <c r="CN236" s="109">
        <v>20.53</v>
      </c>
      <c r="CO236" s="109">
        <v>88.4</v>
      </c>
      <c r="CP236" s="109">
        <v>-1.59</v>
      </c>
      <c r="CQ236" s="109">
        <v>23.61</v>
      </c>
      <c r="CR236" s="109">
        <v>93.13</v>
      </c>
      <c r="CS236" s="109">
        <v>-1.1100000000000001</v>
      </c>
      <c r="CT236" s="109">
        <v>17.920000000000002</v>
      </c>
      <c r="CU236" s="109">
        <v>95.41</v>
      </c>
      <c r="CV236" s="109">
        <v>-1.29</v>
      </c>
      <c r="CW236" s="109">
        <v>19.71</v>
      </c>
      <c r="CX236" s="111"/>
      <c r="CY236" s="111"/>
      <c r="CZ236" s="111"/>
      <c r="DA236" s="111"/>
      <c r="DB236" s="111"/>
      <c r="DC236" s="111"/>
      <c r="DD236" s="111"/>
      <c r="DE236" s="111"/>
      <c r="DF236" s="111"/>
    </row>
    <row r="237" spans="2:110">
      <c r="B237" s="7"/>
      <c r="C237" s="7"/>
      <c r="D237" s="7"/>
      <c r="E237" s="7"/>
      <c r="F237" s="7"/>
      <c r="G237" s="7"/>
      <c r="H237" s="7"/>
      <c r="I237" s="7"/>
      <c r="J237" s="7"/>
      <c r="K237" s="7"/>
      <c r="L237" s="7"/>
      <c r="M237" s="7"/>
      <c r="N237" s="7"/>
      <c r="O237" s="7"/>
      <c r="P237" s="7"/>
      <c r="Q237" s="7"/>
      <c r="R237" s="64"/>
      <c r="S237" s="64"/>
      <c r="T237" s="64"/>
      <c r="U237" s="64"/>
      <c r="V237" s="64"/>
      <c r="W237" s="64"/>
      <c r="X237" s="64"/>
      <c r="Y237" s="64"/>
      <c r="Z237" s="64"/>
      <c r="AA237" s="64"/>
      <c r="AB237" s="64"/>
      <c r="AC237" s="64"/>
      <c r="AD237"/>
      <c r="AE237" s="134"/>
      <c r="AF237" s="134"/>
      <c r="AG237" s="131">
        <v>40</v>
      </c>
      <c r="AH237" s="131">
        <v>100</v>
      </c>
      <c r="AI237" s="131">
        <v>0</v>
      </c>
      <c r="AJ237" s="131">
        <v>0</v>
      </c>
      <c r="AK237" s="130">
        <f t="shared" ca="1" si="384"/>
        <v>0</v>
      </c>
      <c r="AL237" s="130">
        <f t="shared" ca="1" si="386"/>
        <v>0</v>
      </c>
      <c r="AM237" s="130">
        <f t="shared" ca="1" si="387"/>
        <v>0</v>
      </c>
      <c r="AN237" s="130">
        <f t="shared" ca="1" si="385"/>
        <v>0</v>
      </c>
      <c r="AO237" s="109" t="str">
        <f t="shared" si="388"/>
        <v>C40M100Y0K0</v>
      </c>
      <c r="AQ237" s="109">
        <v>48.5</v>
      </c>
      <c r="AR237" s="109">
        <v>25.42</v>
      </c>
      <c r="AS237" s="109">
        <v>-11.83</v>
      </c>
      <c r="AT237" s="109">
        <v>44.95</v>
      </c>
      <c r="AU237" s="109">
        <v>37.96</v>
      </c>
      <c r="AV237" s="109">
        <v>-17.510000000000002</v>
      </c>
      <c r="AW237" s="109">
        <v>48.11</v>
      </c>
      <c r="AX237" s="109">
        <v>37.22</v>
      </c>
      <c r="AY237" s="109">
        <v>-15.4</v>
      </c>
      <c r="AZ237" s="109">
        <v>38.33</v>
      </c>
      <c r="BA237" s="109">
        <v>44.1</v>
      </c>
      <c r="BB237" s="109">
        <v>-20.8</v>
      </c>
      <c r="BC237" s="109">
        <v>39.56</v>
      </c>
      <c r="BD237" s="109">
        <v>51.42</v>
      </c>
      <c r="BE237" s="109">
        <v>-21.27</v>
      </c>
      <c r="BF237" s="109">
        <v>38.619999999999997</v>
      </c>
      <c r="BG237" s="109">
        <v>50.32</v>
      </c>
      <c r="BH237" s="109">
        <v>-18.38</v>
      </c>
      <c r="BI237" s="109">
        <v>39.03</v>
      </c>
      <c r="BJ237" s="109">
        <v>52.81</v>
      </c>
      <c r="BK237" s="109">
        <v>-21.85</v>
      </c>
      <c r="BL237" s="109">
        <v>36.53</v>
      </c>
      <c r="BM237" s="109">
        <v>58.95</v>
      </c>
      <c r="BN237" s="109">
        <v>-27.56</v>
      </c>
      <c r="BP237" s="131">
        <v>50</v>
      </c>
      <c r="BQ237" s="131">
        <v>0</v>
      </c>
      <c r="BR237" s="131">
        <v>50</v>
      </c>
      <c r="BS237" s="131">
        <v>0</v>
      </c>
      <c r="BT237" s="130">
        <f t="shared" si="380"/>
        <v>0</v>
      </c>
      <c r="BU237" s="130">
        <f t="shared" si="381"/>
        <v>1</v>
      </c>
      <c r="BV237" s="130">
        <f t="shared" ca="1" si="382"/>
        <v>0</v>
      </c>
      <c r="BW237" s="130">
        <f t="shared" ca="1" si="383"/>
        <v>1.7292110808303733</v>
      </c>
      <c r="BX237" s="109" t="str">
        <f t="shared" si="389"/>
        <v>C50M0Y50K0</v>
      </c>
      <c r="BZ237" s="109">
        <v>64.73</v>
      </c>
      <c r="CA237" s="109">
        <v>-21.93</v>
      </c>
      <c r="CB237" s="109">
        <v>15.46</v>
      </c>
      <c r="CC237" s="109">
        <v>67.12</v>
      </c>
      <c r="CD237" s="109">
        <v>-22.63</v>
      </c>
      <c r="CE237" s="109">
        <v>15.41</v>
      </c>
      <c r="CF237" s="109">
        <v>72.02</v>
      </c>
      <c r="CG237" s="109">
        <v>-24.47</v>
      </c>
      <c r="CH237" s="109">
        <v>11.66</v>
      </c>
      <c r="CI237" s="109">
        <v>67.38</v>
      </c>
      <c r="CJ237" s="109">
        <v>-25.89</v>
      </c>
      <c r="CK237" s="109">
        <v>17.989999999999998</v>
      </c>
      <c r="CL237" s="109">
        <v>71.319999999999993</v>
      </c>
      <c r="CM237" s="109">
        <v>-25.68</v>
      </c>
      <c r="CN237" s="109">
        <v>15.45</v>
      </c>
      <c r="CO237" s="109">
        <v>69.72</v>
      </c>
      <c r="CP237" s="109">
        <v>-25.18</v>
      </c>
      <c r="CQ237" s="109">
        <v>18</v>
      </c>
      <c r="CR237" s="109">
        <v>72.459999999999994</v>
      </c>
      <c r="CS237" s="109">
        <v>-26.54</v>
      </c>
      <c r="CT237" s="109">
        <v>14.05</v>
      </c>
      <c r="CU237" s="109">
        <v>74.45</v>
      </c>
      <c r="CV237" s="109">
        <v>-28.58</v>
      </c>
      <c r="CW237" s="109">
        <v>15.09</v>
      </c>
      <c r="CX237" s="111"/>
      <c r="CY237" s="111"/>
      <c r="CZ237" s="111"/>
      <c r="DA237" s="111"/>
      <c r="DB237" s="111"/>
      <c r="DC237" s="111"/>
      <c r="DD237" s="111"/>
      <c r="DE237" s="111"/>
      <c r="DF237" s="111"/>
    </row>
    <row r="238" spans="2:110">
      <c r="B238" s="7"/>
      <c r="C238" s="7"/>
      <c r="D238" s="7"/>
      <c r="E238" s="7"/>
      <c r="F238" s="7"/>
      <c r="G238" s="7"/>
      <c r="H238" s="7"/>
      <c r="I238" s="7"/>
      <c r="J238" s="7"/>
      <c r="K238" s="7"/>
      <c r="L238" s="7"/>
      <c r="M238" s="7"/>
      <c r="N238" s="7"/>
      <c r="O238" s="7"/>
      <c r="P238" s="7"/>
      <c r="Q238" s="7"/>
      <c r="R238" s="64"/>
      <c r="S238" s="64"/>
      <c r="T238" s="64"/>
      <c r="U238" s="64"/>
      <c r="V238" s="64"/>
      <c r="W238" s="64"/>
      <c r="X238" s="64"/>
      <c r="Y238" s="64"/>
      <c r="Z238" s="64"/>
      <c r="AA238" s="64"/>
      <c r="AB238" s="64"/>
      <c r="AC238" s="64"/>
      <c r="AD238"/>
      <c r="AE238" s="134"/>
      <c r="AF238" s="134"/>
      <c r="AG238" s="131">
        <v>0</v>
      </c>
      <c r="AH238" s="131">
        <v>40</v>
      </c>
      <c r="AI238" s="131">
        <v>100</v>
      </c>
      <c r="AJ238" s="131">
        <v>0</v>
      </c>
      <c r="AK238" s="130">
        <f t="shared" ca="1" si="384"/>
        <v>0</v>
      </c>
      <c r="AL238" s="130">
        <f t="shared" ca="1" si="386"/>
        <v>0</v>
      </c>
      <c r="AM238" s="130">
        <f t="shared" ca="1" si="387"/>
        <v>0</v>
      </c>
      <c r="AN238" s="130">
        <f t="shared" ca="1" si="385"/>
        <v>0</v>
      </c>
      <c r="AO238" s="109" t="str">
        <f t="shared" si="388"/>
        <v>C0M40Y100K0</v>
      </c>
      <c r="AQ238" s="109">
        <v>64.61</v>
      </c>
      <c r="AR238" s="109">
        <v>23.67</v>
      </c>
      <c r="AS238" s="109">
        <v>39.14</v>
      </c>
      <c r="AT238" s="109">
        <v>66.739999999999995</v>
      </c>
      <c r="AU238" s="109">
        <v>24.04</v>
      </c>
      <c r="AV238" s="109">
        <v>50.36</v>
      </c>
      <c r="AW238" s="109">
        <v>71.11</v>
      </c>
      <c r="AX238" s="109">
        <v>24.4</v>
      </c>
      <c r="AY238" s="109">
        <v>50.21</v>
      </c>
      <c r="AZ238" s="109">
        <v>65.41</v>
      </c>
      <c r="BA238" s="109">
        <v>25.95</v>
      </c>
      <c r="BB238" s="109">
        <v>61.86</v>
      </c>
      <c r="BC238" s="109">
        <v>70.72</v>
      </c>
      <c r="BD238" s="109">
        <v>22.92</v>
      </c>
      <c r="BE238" s="109">
        <v>68.180000000000007</v>
      </c>
      <c r="BF238" s="109">
        <v>69.13</v>
      </c>
      <c r="BG238" s="109">
        <v>22.47</v>
      </c>
      <c r="BH238" s="109">
        <v>68.28</v>
      </c>
      <c r="BI238" s="109">
        <v>71.36</v>
      </c>
      <c r="BJ238" s="109">
        <v>23.52</v>
      </c>
      <c r="BK238" s="109">
        <v>71.84</v>
      </c>
      <c r="BL238" s="109">
        <v>71.34</v>
      </c>
      <c r="BM238" s="109">
        <v>27.9</v>
      </c>
      <c r="BN238" s="109">
        <v>79.72</v>
      </c>
      <c r="BP238" s="131">
        <v>40</v>
      </c>
      <c r="BQ238" s="131">
        <v>0</v>
      </c>
      <c r="BR238" s="131">
        <v>70</v>
      </c>
      <c r="BS238" s="131">
        <v>40</v>
      </c>
      <c r="BT238" s="130">
        <f t="shared" si="380"/>
        <v>0</v>
      </c>
      <c r="BU238" s="130">
        <f t="shared" si="381"/>
        <v>1</v>
      </c>
      <c r="BV238" s="130">
        <f t="shared" ca="1" si="382"/>
        <v>0</v>
      </c>
      <c r="BW238" s="130">
        <f t="shared" ca="1" si="383"/>
        <v>1.4084399742317031</v>
      </c>
      <c r="BX238" s="109" t="str">
        <f t="shared" si="389"/>
        <v>C40M0Y70K40</v>
      </c>
      <c r="BZ238" s="109">
        <v>51.32</v>
      </c>
      <c r="CA238" s="109">
        <v>-12.21</v>
      </c>
      <c r="CB238" s="109">
        <v>17.62</v>
      </c>
      <c r="CC238" s="109">
        <v>50.93</v>
      </c>
      <c r="CD238" s="109">
        <v>-12.96</v>
      </c>
      <c r="CE238" s="109">
        <v>19.649999999999999</v>
      </c>
      <c r="CF238" s="109">
        <v>55.56</v>
      </c>
      <c r="CG238" s="109">
        <v>-14.04</v>
      </c>
      <c r="CH238" s="109">
        <v>17.32</v>
      </c>
      <c r="CI238" s="109">
        <v>49.56</v>
      </c>
      <c r="CJ238" s="109">
        <v>-15.2</v>
      </c>
      <c r="CK238" s="109">
        <v>24.75</v>
      </c>
      <c r="CL238" s="109">
        <v>53.48</v>
      </c>
      <c r="CM238" s="109">
        <v>-16.57</v>
      </c>
      <c r="CN238" s="109">
        <v>26.66</v>
      </c>
      <c r="CO238" s="109">
        <v>52.24</v>
      </c>
      <c r="CP238" s="109">
        <v>-16.23</v>
      </c>
      <c r="CQ238" s="109">
        <v>27.94</v>
      </c>
      <c r="CR238" s="109">
        <v>53.56</v>
      </c>
      <c r="CS238" s="109">
        <v>-18.27</v>
      </c>
      <c r="CT238" s="109">
        <v>26.13</v>
      </c>
      <c r="CU238" s="109">
        <v>53.64</v>
      </c>
      <c r="CV238" s="109">
        <v>-19.329999999999998</v>
      </c>
      <c r="CW238" s="109">
        <v>28.86</v>
      </c>
      <c r="CX238" s="111"/>
      <c r="CY238" s="111"/>
      <c r="CZ238" s="111"/>
      <c r="DA238" s="111"/>
      <c r="DB238" s="111"/>
      <c r="DC238" s="111"/>
      <c r="DD238" s="111"/>
      <c r="DE238" s="111"/>
      <c r="DF238" s="111"/>
    </row>
    <row r="239" spans="2:110">
      <c r="B239" s="7"/>
      <c r="C239" s="7"/>
      <c r="D239" s="7"/>
      <c r="E239" s="7"/>
      <c r="F239" s="7"/>
      <c r="G239" s="7"/>
      <c r="H239" s="7"/>
      <c r="I239" s="7"/>
      <c r="J239" s="7"/>
      <c r="K239" s="7"/>
      <c r="L239" s="7"/>
      <c r="M239" s="7"/>
      <c r="N239" s="7"/>
      <c r="O239" s="7"/>
      <c r="P239" s="7"/>
      <c r="Q239" s="7"/>
      <c r="R239" s="64"/>
      <c r="S239" s="64"/>
      <c r="T239" s="64"/>
      <c r="U239" s="64"/>
      <c r="V239" s="64"/>
      <c r="W239" s="64"/>
      <c r="X239" s="64"/>
      <c r="Y239" s="64"/>
      <c r="Z239" s="64"/>
      <c r="AA239" s="64"/>
      <c r="AB239" s="64"/>
      <c r="AC239" s="64"/>
      <c r="AD239"/>
      <c r="AE239" s="134"/>
      <c r="AF239" s="134"/>
      <c r="AG239" s="131">
        <v>0</v>
      </c>
      <c r="AH239" s="131">
        <v>40</v>
      </c>
      <c r="AI239" s="131">
        <v>70</v>
      </c>
      <c r="AJ239" s="131">
        <v>40</v>
      </c>
      <c r="AK239" s="130">
        <f t="shared" ca="1" si="384"/>
        <v>0</v>
      </c>
      <c r="AL239" s="130">
        <f t="shared" ca="1" si="386"/>
        <v>0</v>
      </c>
      <c r="AM239" s="130">
        <f t="shared" ca="1" si="387"/>
        <v>0</v>
      </c>
      <c r="AN239" s="130">
        <f t="shared" ca="1" si="385"/>
        <v>0</v>
      </c>
      <c r="AO239" s="109" t="str">
        <f t="shared" si="388"/>
        <v>C0M40Y70K40</v>
      </c>
      <c r="AQ239" s="109">
        <v>50.78</v>
      </c>
      <c r="AR239" s="109">
        <v>13.61</v>
      </c>
      <c r="AS239" s="109">
        <v>20.43</v>
      </c>
      <c r="AT239" s="109">
        <v>49.81</v>
      </c>
      <c r="AU239" s="109">
        <v>13.82</v>
      </c>
      <c r="AV239" s="109">
        <v>22.78</v>
      </c>
      <c r="AW239" s="109">
        <v>54.35</v>
      </c>
      <c r="AX239" s="109">
        <v>11.18</v>
      </c>
      <c r="AY239" s="109">
        <v>20.05</v>
      </c>
      <c r="AZ239" s="109">
        <v>47.51</v>
      </c>
      <c r="BA239" s="109">
        <v>16.37</v>
      </c>
      <c r="BB239" s="109">
        <v>28.45</v>
      </c>
      <c r="BC239" s="109">
        <v>51.09</v>
      </c>
      <c r="BD239" s="109">
        <v>15.8</v>
      </c>
      <c r="BE239" s="109">
        <v>32.630000000000003</v>
      </c>
      <c r="BF239" s="109">
        <v>49.9</v>
      </c>
      <c r="BG239" s="109">
        <v>15.47</v>
      </c>
      <c r="BH239" s="109">
        <v>33.5</v>
      </c>
      <c r="BI239" s="109">
        <v>51.44</v>
      </c>
      <c r="BJ239" s="109">
        <v>15.64</v>
      </c>
      <c r="BK239" s="109">
        <v>32.630000000000003</v>
      </c>
      <c r="BL239" s="109">
        <v>50.89</v>
      </c>
      <c r="BM239" s="109">
        <v>18.39</v>
      </c>
      <c r="BN239" s="109">
        <v>35.700000000000003</v>
      </c>
      <c r="BP239" s="131">
        <v>0</v>
      </c>
      <c r="BQ239" s="131">
        <v>0</v>
      </c>
      <c r="BR239" s="131">
        <v>10</v>
      </c>
      <c r="BS239" s="131">
        <v>0</v>
      </c>
      <c r="BT239" s="130">
        <f t="shared" si="380"/>
        <v>0</v>
      </c>
      <c r="BU239" s="130">
        <f t="shared" si="381"/>
        <v>1</v>
      </c>
      <c r="BV239" s="130">
        <f t="shared" ca="1" si="382"/>
        <v>0</v>
      </c>
      <c r="BW239" s="130">
        <f t="shared" ca="1" si="383"/>
        <v>0.11794653066164378</v>
      </c>
      <c r="BX239" s="109" t="str">
        <f t="shared" si="389"/>
        <v>C0M0Y10K0</v>
      </c>
      <c r="BZ239" s="109">
        <v>84.11</v>
      </c>
      <c r="CA239" s="109">
        <v>0.23</v>
      </c>
      <c r="CB239" s="109">
        <v>13.59</v>
      </c>
      <c r="CC239" s="109">
        <v>86.21</v>
      </c>
      <c r="CD239" s="109">
        <v>-0.79</v>
      </c>
      <c r="CE239" s="109">
        <v>11.08</v>
      </c>
      <c r="CF239" s="109">
        <v>94.26</v>
      </c>
      <c r="CG239" s="109">
        <v>-0.41</v>
      </c>
      <c r="CH239" s="109">
        <v>5.59</v>
      </c>
      <c r="CI239" s="109">
        <v>88.16</v>
      </c>
      <c r="CJ239" s="109">
        <v>-0.8</v>
      </c>
      <c r="CK239" s="109">
        <v>11.81</v>
      </c>
      <c r="CL239" s="109">
        <v>91.33</v>
      </c>
      <c r="CM239" s="109">
        <v>-0.67</v>
      </c>
      <c r="CN239" s="109">
        <v>8.23</v>
      </c>
      <c r="CO239" s="109">
        <v>89.34</v>
      </c>
      <c r="CP239" s="109">
        <v>-0.66</v>
      </c>
      <c r="CQ239" s="109">
        <v>11.86</v>
      </c>
      <c r="CR239" s="109">
        <v>94.22</v>
      </c>
      <c r="CS239" s="109">
        <v>0.12</v>
      </c>
      <c r="CT239" s="109">
        <v>4.76</v>
      </c>
      <c r="CU239" s="109">
        <v>96.37</v>
      </c>
      <c r="CV239" s="109">
        <v>0.02</v>
      </c>
      <c r="CW239" s="109">
        <v>5.43</v>
      </c>
      <c r="CX239" s="111"/>
      <c r="CY239" s="111"/>
      <c r="CZ239" s="111"/>
      <c r="DA239" s="111"/>
      <c r="DB239" s="111"/>
      <c r="DC239" s="111"/>
      <c r="DD239" s="111"/>
      <c r="DE239" s="111"/>
      <c r="DF239" s="111"/>
    </row>
    <row r="240" spans="2:110">
      <c r="B240" s="7"/>
      <c r="C240" s="7"/>
      <c r="D240" s="7"/>
      <c r="E240" s="7"/>
      <c r="F240" s="7"/>
      <c r="G240" s="7"/>
      <c r="H240" s="7"/>
      <c r="I240" s="7"/>
      <c r="J240" s="7"/>
      <c r="K240" s="7"/>
      <c r="L240" s="7"/>
      <c r="M240" s="7"/>
      <c r="N240" s="7"/>
      <c r="O240" s="7"/>
      <c r="P240" s="7"/>
      <c r="Q240" s="7"/>
      <c r="R240" s="64"/>
      <c r="S240" s="64"/>
      <c r="T240" s="64"/>
      <c r="U240" s="64"/>
      <c r="V240" s="64"/>
      <c r="W240" s="64"/>
      <c r="X240" s="64"/>
      <c r="Y240" s="64"/>
      <c r="Z240" s="64"/>
      <c r="AA240" s="64"/>
      <c r="AB240" s="64"/>
      <c r="AC240" s="64"/>
      <c r="AD240"/>
      <c r="AE240" s="134"/>
      <c r="AF240" s="134"/>
      <c r="AG240" s="131">
        <v>0</v>
      </c>
      <c r="AH240" s="131">
        <v>70</v>
      </c>
      <c r="AI240" s="131">
        <v>40</v>
      </c>
      <c r="AJ240" s="131">
        <v>40</v>
      </c>
      <c r="AK240" s="130">
        <f t="shared" ca="1" si="384"/>
        <v>0</v>
      </c>
      <c r="AL240" s="130">
        <f t="shared" ca="1" si="386"/>
        <v>0</v>
      </c>
      <c r="AM240" s="130">
        <f t="shared" ca="1" si="387"/>
        <v>0</v>
      </c>
      <c r="AN240" s="130">
        <f t="shared" ca="1" si="385"/>
        <v>0</v>
      </c>
      <c r="AO240" s="109" t="str">
        <f t="shared" si="388"/>
        <v>C0M70Y40K40</v>
      </c>
      <c r="AQ240" s="109">
        <v>46.97</v>
      </c>
      <c r="AR240" s="109">
        <v>22.3</v>
      </c>
      <c r="AS240" s="109">
        <v>10.65</v>
      </c>
      <c r="AT240" s="109">
        <v>44.39</v>
      </c>
      <c r="AU240" s="109">
        <v>26.03</v>
      </c>
      <c r="AV240" s="109">
        <v>9.07</v>
      </c>
      <c r="AW240" s="109">
        <v>49.05</v>
      </c>
      <c r="AX240" s="109">
        <v>23.86</v>
      </c>
      <c r="AY240" s="109">
        <v>7.07</v>
      </c>
      <c r="AZ240" s="109">
        <v>40.25</v>
      </c>
      <c r="BA240" s="109">
        <v>30.95</v>
      </c>
      <c r="BB240" s="109">
        <v>10.66</v>
      </c>
      <c r="BC240" s="109">
        <v>42.34</v>
      </c>
      <c r="BD240" s="109">
        <v>33.24</v>
      </c>
      <c r="BE240" s="109">
        <v>12.37</v>
      </c>
      <c r="BF240" s="109">
        <v>41.34</v>
      </c>
      <c r="BG240" s="109">
        <v>32.53</v>
      </c>
      <c r="BH240" s="109">
        <v>13.82</v>
      </c>
      <c r="BI240" s="109">
        <v>42.56</v>
      </c>
      <c r="BJ240" s="109">
        <v>33.89</v>
      </c>
      <c r="BK240" s="109">
        <v>12.27</v>
      </c>
      <c r="BL240" s="109">
        <v>41.45</v>
      </c>
      <c r="BM240" s="109">
        <v>37.46</v>
      </c>
      <c r="BN240" s="109">
        <v>12.37</v>
      </c>
      <c r="BP240" s="131">
        <v>25</v>
      </c>
      <c r="BQ240" s="131">
        <v>0</v>
      </c>
      <c r="BR240" s="131">
        <v>25</v>
      </c>
      <c r="BS240" s="131">
        <v>0</v>
      </c>
      <c r="BT240" s="130">
        <f t="shared" si="380"/>
        <v>0</v>
      </c>
      <c r="BU240" s="130">
        <f t="shared" si="381"/>
        <v>1</v>
      </c>
      <c r="BV240" s="130">
        <f t="shared" ca="1" si="382"/>
        <v>0</v>
      </c>
      <c r="BW240" s="130">
        <f t="shared" ca="1" si="383"/>
        <v>0.71046795666094764</v>
      </c>
      <c r="BX240" s="109" t="str">
        <f t="shared" si="389"/>
        <v>C25M0Y25K0</v>
      </c>
      <c r="BZ240" s="109">
        <v>73.650000000000006</v>
      </c>
      <c r="CA240" s="109">
        <v>-11.3</v>
      </c>
      <c r="CB240" s="109">
        <v>11.75</v>
      </c>
      <c r="CC240" s="109">
        <v>76.34</v>
      </c>
      <c r="CD240" s="109">
        <v>-11.32</v>
      </c>
      <c r="CE240" s="109">
        <v>10.18</v>
      </c>
      <c r="CF240" s="109">
        <v>83.06</v>
      </c>
      <c r="CG240" s="109">
        <v>-12.1</v>
      </c>
      <c r="CH240" s="109">
        <v>5.4</v>
      </c>
      <c r="CI240" s="109">
        <v>77.680000000000007</v>
      </c>
      <c r="CJ240" s="109">
        <v>-12.71</v>
      </c>
      <c r="CK240" s="109">
        <v>11.08</v>
      </c>
      <c r="CL240" s="109">
        <v>81.239999999999995</v>
      </c>
      <c r="CM240" s="109">
        <v>-11.34</v>
      </c>
      <c r="CN240" s="109">
        <v>8.0399999999999991</v>
      </c>
      <c r="CO240" s="109">
        <v>79.45</v>
      </c>
      <c r="CP240" s="109">
        <v>-11.11</v>
      </c>
      <c r="CQ240" s="109">
        <v>11.3</v>
      </c>
      <c r="CR240" s="109">
        <v>83.52</v>
      </c>
      <c r="CS240" s="109">
        <v>-11.03</v>
      </c>
      <c r="CT240" s="109">
        <v>5.15</v>
      </c>
      <c r="CU240" s="109">
        <v>85.83</v>
      </c>
      <c r="CV240" s="109">
        <v>-12.2</v>
      </c>
      <c r="CW240" s="109">
        <v>5.87</v>
      </c>
      <c r="CX240" s="111"/>
      <c r="CY240" s="111"/>
      <c r="CZ240" s="111"/>
      <c r="DA240" s="111"/>
      <c r="DB240" s="111"/>
      <c r="DC240" s="111"/>
      <c r="DD240" s="111"/>
      <c r="DE240" s="111"/>
      <c r="DF240" s="111"/>
    </row>
    <row r="241" spans="2:110">
      <c r="B241" s="7"/>
      <c r="C241" s="7"/>
      <c r="D241" s="7"/>
      <c r="E241" s="7"/>
      <c r="F241" s="7"/>
      <c r="G241" s="7"/>
      <c r="H241" s="7"/>
      <c r="I241" s="7"/>
      <c r="J241" s="7"/>
      <c r="K241" s="7"/>
      <c r="L241" s="7"/>
      <c r="M241" s="7"/>
      <c r="N241" s="7"/>
      <c r="O241" s="7"/>
      <c r="P241" s="7"/>
      <c r="Q241" s="7"/>
      <c r="R241" s="64"/>
      <c r="S241" s="64"/>
      <c r="T241" s="64"/>
      <c r="U241" s="64"/>
      <c r="V241" s="64"/>
      <c r="W241" s="64"/>
      <c r="X241" s="64"/>
      <c r="Y241" s="64"/>
      <c r="Z241" s="64"/>
      <c r="AA241" s="64"/>
      <c r="AB241" s="64"/>
      <c r="AC241" s="64"/>
      <c r="AD241"/>
      <c r="AE241" s="134"/>
      <c r="AF241" s="134"/>
      <c r="AG241" s="131">
        <v>40</v>
      </c>
      <c r="AH241" s="131">
        <v>70</v>
      </c>
      <c r="AI241" s="131">
        <v>0</v>
      </c>
      <c r="AJ241" s="131">
        <v>40</v>
      </c>
      <c r="AK241" s="130">
        <f t="shared" ca="1" si="384"/>
        <v>0</v>
      </c>
      <c r="AL241" s="130">
        <f t="shared" ca="1" si="386"/>
        <v>0</v>
      </c>
      <c r="AM241" s="130">
        <f t="shared" ca="1" si="387"/>
        <v>0</v>
      </c>
      <c r="AN241" s="130">
        <f t="shared" ca="1" si="385"/>
        <v>0</v>
      </c>
      <c r="AO241" s="109" t="str">
        <f t="shared" si="388"/>
        <v>C40M70Y0K40</v>
      </c>
      <c r="AQ241" s="109">
        <v>42.62</v>
      </c>
      <c r="AR241" s="109">
        <v>11.63</v>
      </c>
      <c r="AS241" s="109">
        <v>-6.44</v>
      </c>
      <c r="AT241" s="109">
        <v>39.68</v>
      </c>
      <c r="AU241" s="109">
        <v>17</v>
      </c>
      <c r="AV241" s="109">
        <v>-11.84</v>
      </c>
      <c r="AW241" s="109">
        <v>44.66</v>
      </c>
      <c r="AX241" s="109">
        <v>15.58</v>
      </c>
      <c r="AY241" s="109">
        <v>-10.130000000000001</v>
      </c>
      <c r="AZ241" s="109">
        <v>34.71</v>
      </c>
      <c r="BA241" s="109">
        <v>19.66</v>
      </c>
      <c r="BB241" s="109">
        <v>-14.88</v>
      </c>
      <c r="BC241" s="109">
        <v>35.700000000000003</v>
      </c>
      <c r="BD241" s="109">
        <v>23</v>
      </c>
      <c r="BE241" s="109">
        <v>-16.03</v>
      </c>
      <c r="BF241" s="109">
        <v>34.840000000000003</v>
      </c>
      <c r="BG241" s="109">
        <v>22.48</v>
      </c>
      <c r="BH241" s="109">
        <v>-13.52</v>
      </c>
      <c r="BI241" s="109">
        <v>35.659999999999997</v>
      </c>
      <c r="BJ241" s="109">
        <v>23.24</v>
      </c>
      <c r="BK241" s="109">
        <v>-16.920000000000002</v>
      </c>
      <c r="BL241" s="109">
        <v>33.74</v>
      </c>
      <c r="BM241" s="109">
        <v>26.28</v>
      </c>
      <c r="BN241" s="109">
        <v>-18.829999999999998</v>
      </c>
      <c r="BP241" s="131">
        <v>70</v>
      </c>
      <c r="BQ241" s="131">
        <v>0</v>
      </c>
      <c r="BR241" s="131">
        <v>40</v>
      </c>
      <c r="BS241" s="131">
        <v>40</v>
      </c>
      <c r="BT241" s="130">
        <f t="shared" si="380"/>
        <v>0</v>
      </c>
      <c r="BU241" s="130">
        <f t="shared" si="381"/>
        <v>1</v>
      </c>
      <c r="BV241" s="130">
        <f t="shared" ca="1" si="382"/>
        <v>0</v>
      </c>
      <c r="BW241" s="130">
        <f t="shared" ca="1" si="383"/>
        <v>1.3432616659641969</v>
      </c>
      <c r="BX241" s="109" t="str">
        <f t="shared" si="389"/>
        <v>C70M0Y40K40</v>
      </c>
      <c r="BZ241" s="109">
        <v>47.87</v>
      </c>
      <c r="CA241" s="109">
        <v>-16.09</v>
      </c>
      <c r="CB241" s="109">
        <v>3.43</v>
      </c>
      <c r="CC241" s="109">
        <v>46.36</v>
      </c>
      <c r="CD241" s="109">
        <v>-18.03</v>
      </c>
      <c r="CE241" s="109">
        <v>0.12</v>
      </c>
      <c r="CF241" s="109">
        <v>51.06</v>
      </c>
      <c r="CG241" s="109">
        <v>-17.8</v>
      </c>
      <c r="CH241" s="109">
        <v>-2.94</v>
      </c>
      <c r="CI241" s="109">
        <v>43.96</v>
      </c>
      <c r="CJ241" s="109">
        <v>-22.89</v>
      </c>
      <c r="CK241" s="109">
        <v>0.09</v>
      </c>
      <c r="CL241" s="109">
        <v>46.86</v>
      </c>
      <c r="CM241" s="109">
        <v>-25.03</v>
      </c>
      <c r="CN241" s="109">
        <v>-2.5499999999999998</v>
      </c>
      <c r="CO241" s="109">
        <v>45.76</v>
      </c>
      <c r="CP241" s="109">
        <v>-24.49</v>
      </c>
      <c r="CQ241" s="109">
        <v>-0.21</v>
      </c>
      <c r="CR241" s="109">
        <v>46.46</v>
      </c>
      <c r="CS241" s="109">
        <v>-26.27</v>
      </c>
      <c r="CT241" s="109">
        <v>-4.2699999999999996</v>
      </c>
      <c r="CU241" s="109">
        <v>46.19</v>
      </c>
      <c r="CV241" s="109">
        <v>-28.46</v>
      </c>
      <c r="CW241" s="109">
        <v>-3.9</v>
      </c>
      <c r="CX241" s="111"/>
      <c r="CY241" s="111"/>
      <c r="CZ241" s="111"/>
      <c r="DA241" s="111"/>
      <c r="DB241" s="111"/>
      <c r="DC241" s="111"/>
      <c r="DD241" s="111"/>
      <c r="DE241" s="111"/>
      <c r="DF241" s="111"/>
    </row>
    <row r="242" spans="2:110">
      <c r="B242" s="7"/>
      <c r="C242" s="7"/>
      <c r="D242" s="7"/>
      <c r="E242" s="7"/>
      <c r="F242" s="7"/>
      <c r="G242" s="7"/>
      <c r="H242" s="7"/>
      <c r="I242" s="7"/>
      <c r="J242" s="7"/>
      <c r="K242" s="7"/>
      <c r="L242" s="7"/>
      <c r="M242" s="7"/>
      <c r="N242" s="7"/>
      <c r="O242" s="7"/>
      <c r="P242" s="7"/>
      <c r="Q242" s="7"/>
      <c r="R242" s="64"/>
      <c r="S242" s="64"/>
      <c r="T242" s="64"/>
      <c r="U242" s="64"/>
      <c r="V242" s="64"/>
      <c r="W242" s="64"/>
      <c r="X242" s="64"/>
      <c r="Y242" s="64"/>
      <c r="Z242" s="64"/>
      <c r="AA242" s="64"/>
      <c r="AB242" s="64"/>
      <c r="AC242" s="64"/>
      <c r="AD242"/>
      <c r="AE242" s="134"/>
      <c r="AF242" s="134"/>
      <c r="AG242" s="131">
        <v>40</v>
      </c>
      <c r="AH242" s="131">
        <v>0</v>
      </c>
      <c r="AI242" s="131">
        <v>70</v>
      </c>
      <c r="AJ242" s="131">
        <v>40</v>
      </c>
      <c r="AK242" s="130">
        <f t="shared" ca="1" si="384"/>
        <v>0</v>
      </c>
      <c r="AL242" s="130">
        <f t="shared" ca="1" si="386"/>
        <v>0</v>
      </c>
      <c r="AM242" s="130">
        <f t="shared" ca="1" si="387"/>
        <v>0</v>
      </c>
      <c r="AN242" s="130">
        <f t="shared" ca="1" si="385"/>
        <v>0</v>
      </c>
      <c r="AO242" s="109" t="str">
        <f t="shared" si="388"/>
        <v>C40M0Y70K40</v>
      </c>
      <c r="AQ242" s="109">
        <v>51.32</v>
      </c>
      <c r="AR242" s="109">
        <v>-12.21</v>
      </c>
      <c r="AS242" s="109">
        <v>17.62</v>
      </c>
      <c r="AT242" s="109">
        <v>50.93</v>
      </c>
      <c r="AU242" s="109">
        <v>-12.96</v>
      </c>
      <c r="AV242" s="109">
        <v>19.649999999999999</v>
      </c>
      <c r="AW242" s="109">
        <v>55.56</v>
      </c>
      <c r="AX242" s="109">
        <v>-14.04</v>
      </c>
      <c r="AY242" s="109">
        <v>17.32</v>
      </c>
      <c r="AZ242" s="109">
        <v>49.56</v>
      </c>
      <c r="BA242" s="109">
        <v>-15.2</v>
      </c>
      <c r="BB242" s="109">
        <v>24.75</v>
      </c>
      <c r="BC242" s="109">
        <v>53.48</v>
      </c>
      <c r="BD242" s="109">
        <v>-16.57</v>
      </c>
      <c r="BE242" s="109">
        <v>26.66</v>
      </c>
      <c r="BF242" s="109">
        <v>52.24</v>
      </c>
      <c r="BG242" s="109">
        <v>-16.23</v>
      </c>
      <c r="BH242" s="109">
        <v>27.94</v>
      </c>
      <c r="BI242" s="109">
        <v>53.56</v>
      </c>
      <c r="BJ242" s="109">
        <v>-18.27</v>
      </c>
      <c r="BK242" s="109">
        <v>26.13</v>
      </c>
      <c r="BL242" s="109">
        <v>53.64</v>
      </c>
      <c r="BM242" s="109">
        <v>-19.329999999999998</v>
      </c>
      <c r="BN242" s="109">
        <v>28.86</v>
      </c>
      <c r="BP242" s="131">
        <v>100</v>
      </c>
      <c r="BQ242" s="131">
        <v>100</v>
      </c>
      <c r="BR242" s="131">
        <v>100</v>
      </c>
      <c r="BS242" s="131">
        <v>100</v>
      </c>
      <c r="BT242" s="130">
        <f t="shared" si="380"/>
        <v>0</v>
      </c>
      <c r="BU242" s="130">
        <f t="shared" si="381"/>
        <v>1</v>
      </c>
      <c r="BV242" s="130">
        <f t="shared" ca="1" si="382"/>
        <v>0</v>
      </c>
      <c r="BW242" s="130">
        <f t="shared" ca="1" si="383"/>
        <v>1.7788929071098104E-4</v>
      </c>
      <c r="BX242" s="109" t="str">
        <f t="shared" si="389"/>
        <v>C100M100Y100K100</v>
      </c>
      <c r="BZ242" s="109">
        <v>31.75</v>
      </c>
      <c r="CA242" s="109">
        <v>0.09</v>
      </c>
      <c r="CB242" s="109">
        <v>0.8</v>
      </c>
      <c r="CC242" s="109">
        <v>22.03</v>
      </c>
      <c r="CD242" s="109">
        <v>0.8</v>
      </c>
      <c r="CE242" s="109">
        <v>1.26</v>
      </c>
      <c r="CF242" s="109">
        <v>27.08</v>
      </c>
      <c r="CG242" s="109">
        <v>-0.19</v>
      </c>
      <c r="CH242" s="109">
        <v>1.07</v>
      </c>
      <c r="CI242" s="109">
        <v>15.29</v>
      </c>
      <c r="CJ242" s="109">
        <v>0.28999999999999998</v>
      </c>
      <c r="CK242" s="109">
        <v>1.34</v>
      </c>
      <c r="CL242" s="109">
        <v>9.1999999999999993</v>
      </c>
      <c r="CM242" s="109">
        <v>0</v>
      </c>
      <c r="CN242" s="109">
        <v>1.86</v>
      </c>
      <c r="CO242" s="109">
        <v>9.1999999999999993</v>
      </c>
      <c r="CP242" s="109">
        <v>0</v>
      </c>
      <c r="CQ242" s="109">
        <v>1.86</v>
      </c>
      <c r="CR242" s="109">
        <v>9.0500000000000007</v>
      </c>
      <c r="CS242" s="109">
        <v>0.2</v>
      </c>
      <c r="CT242" s="109">
        <v>0.39</v>
      </c>
      <c r="CU242" s="109">
        <v>4.41</v>
      </c>
      <c r="CV242" s="109">
        <v>-0.16</v>
      </c>
      <c r="CW242" s="109">
        <v>2.77</v>
      </c>
      <c r="CX242" s="111"/>
      <c r="CY242" s="111"/>
      <c r="CZ242" s="111"/>
      <c r="DA242" s="111"/>
      <c r="DB242" s="111"/>
      <c r="DC242" s="111"/>
      <c r="DD242" s="111"/>
      <c r="DE242" s="111"/>
      <c r="DF242" s="111"/>
    </row>
    <row r="243" spans="2:110">
      <c r="B243" s="7"/>
      <c r="C243" s="7"/>
      <c r="D243" s="7"/>
      <c r="E243" s="7"/>
      <c r="F243" s="7"/>
      <c r="G243" s="7"/>
      <c r="H243" s="7"/>
      <c r="I243" s="7"/>
      <c r="J243" s="7"/>
      <c r="K243" s="7"/>
      <c r="L243" s="7"/>
      <c r="M243" s="7"/>
      <c r="N243" s="7"/>
      <c r="O243" s="7"/>
      <c r="P243" s="7"/>
      <c r="Q243" s="7"/>
      <c r="R243" s="64"/>
      <c r="S243" s="64"/>
      <c r="T243" s="64"/>
      <c r="U243" s="64"/>
      <c r="V243" s="64"/>
      <c r="W243" s="64"/>
      <c r="X243" s="64"/>
      <c r="Y243" s="64"/>
      <c r="Z243" s="64"/>
      <c r="AA243" s="64"/>
      <c r="AB243" s="64"/>
      <c r="AC243" s="64"/>
      <c r="AD243"/>
      <c r="AE243" s="134"/>
      <c r="AF243" s="134"/>
      <c r="AG243" s="131">
        <v>70</v>
      </c>
      <c r="AH243" s="131">
        <v>40</v>
      </c>
      <c r="AI243" s="131">
        <v>0</v>
      </c>
      <c r="AJ243" s="131">
        <v>40</v>
      </c>
      <c r="AK243" s="130">
        <f t="shared" ca="1" si="384"/>
        <v>0</v>
      </c>
      <c r="AL243" s="130">
        <f t="shared" ca="1" si="386"/>
        <v>0</v>
      </c>
      <c r="AM243" s="130">
        <f t="shared" ca="1" si="387"/>
        <v>0</v>
      </c>
      <c r="AN243" s="130">
        <f t="shared" ca="1" si="385"/>
        <v>0</v>
      </c>
      <c r="AO243" s="109" t="str">
        <f t="shared" si="388"/>
        <v>C70M40Y0K40</v>
      </c>
      <c r="AQ243" s="109">
        <v>43.01</v>
      </c>
      <c r="AR243" s="109">
        <v>-0.56999999999999995</v>
      </c>
      <c r="AS243" s="109">
        <v>-10.64</v>
      </c>
      <c r="AT243" s="109">
        <v>40.770000000000003</v>
      </c>
      <c r="AU243" s="109">
        <v>0.3</v>
      </c>
      <c r="AV243" s="109">
        <v>-17.59</v>
      </c>
      <c r="AW243" s="109">
        <v>45.53</v>
      </c>
      <c r="AX243" s="109">
        <v>-0.72</v>
      </c>
      <c r="AY243" s="109">
        <v>-17.760000000000002</v>
      </c>
      <c r="AZ243" s="109">
        <v>36.68</v>
      </c>
      <c r="BA243" s="109">
        <v>-2.21</v>
      </c>
      <c r="BB243" s="109">
        <v>-21.36</v>
      </c>
      <c r="BC243" s="109">
        <v>38.17</v>
      </c>
      <c r="BD243" s="109">
        <v>-2.16</v>
      </c>
      <c r="BE243" s="109">
        <v>-24.51</v>
      </c>
      <c r="BF243" s="109">
        <v>37.26</v>
      </c>
      <c r="BG243" s="109">
        <v>-2.11</v>
      </c>
      <c r="BH243" s="109">
        <v>-21.53</v>
      </c>
      <c r="BI243" s="109">
        <v>37.72</v>
      </c>
      <c r="BJ243" s="109">
        <v>-1.79</v>
      </c>
      <c r="BK243" s="109">
        <v>-26.49</v>
      </c>
      <c r="BL243" s="109">
        <v>36.1</v>
      </c>
      <c r="BM243" s="109">
        <v>-1.18</v>
      </c>
      <c r="BN243" s="109">
        <v>-27.77</v>
      </c>
      <c r="BP243" s="131">
        <v>0</v>
      </c>
      <c r="BQ243" s="131">
        <v>0</v>
      </c>
      <c r="BR243" s="131">
        <v>0</v>
      </c>
      <c r="BS243" s="131">
        <v>0</v>
      </c>
      <c r="BT243" s="130">
        <f t="shared" si="380"/>
        <v>0</v>
      </c>
      <c r="BU243" s="130">
        <f t="shared" si="381"/>
        <v>1</v>
      </c>
      <c r="BV243" s="130">
        <f t="shared" ca="1" si="382"/>
        <v>0</v>
      </c>
      <c r="BW243" s="130">
        <f t="shared" ca="1" si="383"/>
        <v>1.1971933037036241E-3</v>
      </c>
      <c r="BX243" s="109" t="str">
        <f t="shared" si="389"/>
        <v>C0M0Y0K0</v>
      </c>
      <c r="BZ243" s="109">
        <v>85</v>
      </c>
      <c r="CA243" s="109">
        <v>1</v>
      </c>
      <c r="CB243" s="109">
        <v>5</v>
      </c>
      <c r="CC243" s="109">
        <v>87</v>
      </c>
      <c r="CD243" s="109">
        <v>0</v>
      </c>
      <c r="CE243" s="109">
        <v>3</v>
      </c>
      <c r="CF243" s="109">
        <v>95</v>
      </c>
      <c r="CG243" s="109">
        <v>1</v>
      </c>
      <c r="CH243" s="109">
        <v>-4</v>
      </c>
      <c r="CI243" s="109">
        <v>89</v>
      </c>
      <c r="CJ243" s="109">
        <v>0</v>
      </c>
      <c r="CK243" s="109">
        <v>3</v>
      </c>
      <c r="CL243" s="109">
        <v>92</v>
      </c>
      <c r="CM243" s="109">
        <v>0</v>
      </c>
      <c r="CN243" s="109">
        <v>0</v>
      </c>
      <c r="CO243" s="109">
        <v>90</v>
      </c>
      <c r="CP243" s="109">
        <v>0</v>
      </c>
      <c r="CQ243" s="109">
        <v>4</v>
      </c>
      <c r="CR243" s="109">
        <v>95</v>
      </c>
      <c r="CS243" s="109">
        <v>1</v>
      </c>
      <c r="CT243" s="109">
        <v>-4</v>
      </c>
      <c r="CU243" s="109">
        <v>97</v>
      </c>
      <c r="CV243" s="109">
        <v>1</v>
      </c>
      <c r="CW243" s="109">
        <v>-4</v>
      </c>
      <c r="CX243" s="111"/>
      <c r="CY243" s="111"/>
      <c r="CZ243" s="111"/>
      <c r="DA243" s="111"/>
      <c r="DB243" s="111"/>
      <c r="DC243" s="111"/>
      <c r="DD243" s="111"/>
      <c r="DE243" s="111"/>
      <c r="DF243" s="111"/>
    </row>
    <row r="244" spans="2:110">
      <c r="B244" s="7"/>
      <c r="C244" s="7"/>
      <c r="D244" s="7"/>
      <c r="E244" s="7"/>
      <c r="F244" s="7"/>
      <c r="G244" s="7"/>
      <c r="H244" s="7"/>
      <c r="I244" s="7"/>
      <c r="J244" s="7"/>
      <c r="K244" s="7"/>
      <c r="L244" s="7"/>
      <c r="M244" s="7"/>
      <c r="N244" s="7"/>
      <c r="O244" s="7"/>
      <c r="P244" s="7"/>
      <c r="Q244" s="7"/>
      <c r="R244" s="64"/>
      <c r="S244" s="64"/>
      <c r="T244" s="64"/>
      <c r="U244" s="64"/>
      <c r="V244" s="64"/>
      <c r="W244" s="64"/>
      <c r="X244" s="64"/>
      <c r="Y244" s="64"/>
      <c r="Z244" s="64"/>
      <c r="AA244" s="64"/>
      <c r="AB244" s="64"/>
      <c r="AC244" s="64"/>
      <c r="AD244"/>
      <c r="AE244" s="134"/>
      <c r="AF244" s="134"/>
      <c r="AG244" s="131">
        <v>0</v>
      </c>
      <c r="AH244" s="131">
        <v>0</v>
      </c>
      <c r="AI244" s="131">
        <v>0</v>
      </c>
      <c r="AJ244" s="131">
        <v>3</v>
      </c>
      <c r="AK244" s="130">
        <f t="shared" ca="1" si="384"/>
        <v>0</v>
      </c>
      <c r="AL244" s="130">
        <f t="shared" ca="1" si="386"/>
        <v>0</v>
      </c>
      <c r="AM244" s="130">
        <f t="shared" ca="1" si="387"/>
        <v>0</v>
      </c>
      <c r="AN244" s="130">
        <f t="shared" ca="1" si="385"/>
        <v>0</v>
      </c>
      <c r="AO244" s="109" t="str">
        <f t="shared" si="388"/>
        <v>C0M0Y0K3</v>
      </c>
      <c r="AQ244" s="109">
        <v>82.89</v>
      </c>
      <c r="AR244" s="109">
        <v>0.99</v>
      </c>
      <c r="AS244" s="109">
        <v>4.95</v>
      </c>
      <c r="AT244" s="109">
        <v>84.88</v>
      </c>
      <c r="AU244" s="109">
        <v>-0.02</v>
      </c>
      <c r="AV244" s="109">
        <v>2.88</v>
      </c>
      <c r="AW244" s="109">
        <v>92.76</v>
      </c>
      <c r="AX244" s="109">
        <v>0.96</v>
      </c>
      <c r="AY244" s="109">
        <v>-3.73</v>
      </c>
      <c r="AZ244" s="109">
        <v>86.73</v>
      </c>
      <c r="BA244" s="109">
        <v>-0.04</v>
      </c>
      <c r="BB244" s="109">
        <v>2.77</v>
      </c>
      <c r="BC244" s="109">
        <v>89.87</v>
      </c>
      <c r="BD244" s="109">
        <v>0</v>
      </c>
      <c r="BE244" s="109">
        <v>-0.06</v>
      </c>
      <c r="BF244" s="109">
        <v>87.91</v>
      </c>
      <c r="BG244" s="109">
        <v>0</v>
      </c>
      <c r="BH244" s="109">
        <v>3.86</v>
      </c>
      <c r="BI244" s="109">
        <v>92.81</v>
      </c>
      <c r="BJ244" s="109">
        <v>0.96</v>
      </c>
      <c r="BK244" s="109">
        <v>-3.89</v>
      </c>
      <c r="BL244" s="109">
        <v>94.79</v>
      </c>
      <c r="BM244" s="109">
        <v>0.96</v>
      </c>
      <c r="BN244" s="109">
        <v>-3.88</v>
      </c>
      <c r="BP244" s="131">
        <v>70</v>
      </c>
      <c r="BQ244" s="131">
        <v>40</v>
      </c>
      <c r="BR244" s="131">
        <v>40</v>
      </c>
      <c r="BS244" s="131">
        <v>0</v>
      </c>
      <c r="BT244" s="130">
        <f t="shared" si="380"/>
        <v>0</v>
      </c>
      <c r="BU244" s="130">
        <f t="shared" si="381"/>
        <v>1</v>
      </c>
      <c r="BV244" s="130">
        <f t="shared" ca="1" si="382"/>
        <v>0</v>
      </c>
      <c r="BW244" s="130">
        <f t="shared" ca="1" si="383"/>
        <v>0.22017076674988756</v>
      </c>
      <c r="BX244" s="109" t="str">
        <f t="shared" si="389"/>
        <v>C70M40Y40K0</v>
      </c>
      <c r="BZ244" s="109">
        <v>51.6</v>
      </c>
      <c r="CA244" s="109">
        <v>-6.27</v>
      </c>
      <c r="CB244" s="109">
        <v>-2.4300000000000002</v>
      </c>
      <c r="CC244" s="109">
        <v>49.68</v>
      </c>
      <c r="CD244" s="109">
        <v>-8.26</v>
      </c>
      <c r="CE244" s="109">
        <v>-5.3</v>
      </c>
      <c r="CF244" s="109">
        <v>53.98</v>
      </c>
      <c r="CG244" s="109">
        <v>-7.77</v>
      </c>
      <c r="CH244" s="109">
        <v>-8.65</v>
      </c>
      <c r="CI244" s="109">
        <v>48.93</v>
      </c>
      <c r="CJ244" s="109">
        <v>-10.23</v>
      </c>
      <c r="CK244" s="109">
        <v>-6.26</v>
      </c>
      <c r="CL244" s="109">
        <v>50.36</v>
      </c>
      <c r="CM244" s="109">
        <v>-11.19</v>
      </c>
      <c r="CN244" s="109">
        <v>-8.65</v>
      </c>
      <c r="CO244" s="109">
        <v>49.18</v>
      </c>
      <c r="CP244" s="109">
        <v>-10.96</v>
      </c>
      <c r="CQ244" s="109">
        <v>-5.9</v>
      </c>
      <c r="CR244" s="109">
        <v>51.12</v>
      </c>
      <c r="CS244" s="109">
        <v>-10.87</v>
      </c>
      <c r="CT244" s="109">
        <v>-11.01</v>
      </c>
      <c r="CU244" s="109">
        <v>51.08</v>
      </c>
      <c r="CV244" s="109">
        <v>-11.56</v>
      </c>
      <c r="CW244" s="109">
        <v>-11.59</v>
      </c>
      <c r="CX244" s="111"/>
      <c r="CY244" s="111"/>
      <c r="CZ244" s="111"/>
      <c r="DA244" s="111"/>
      <c r="DB244" s="111"/>
      <c r="DC244" s="111"/>
      <c r="DD244" s="111"/>
      <c r="DE244" s="111"/>
      <c r="DF244" s="111"/>
    </row>
    <row r="245" spans="2:110">
      <c r="B245" s="7"/>
      <c r="C245" s="7"/>
      <c r="D245" s="7"/>
      <c r="E245" s="7"/>
      <c r="F245" s="7"/>
      <c r="G245" s="7"/>
      <c r="H245" s="7"/>
      <c r="I245" s="7"/>
      <c r="J245" s="7"/>
      <c r="K245" s="7"/>
      <c r="L245" s="7"/>
      <c r="M245" s="7"/>
      <c r="N245" s="7"/>
      <c r="O245" s="7"/>
      <c r="P245" s="7"/>
      <c r="Q245" s="7"/>
      <c r="R245" s="64"/>
      <c r="S245" s="64"/>
      <c r="T245" s="64"/>
      <c r="U245" s="64"/>
      <c r="V245" s="64"/>
      <c r="W245" s="64"/>
      <c r="X245" s="64"/>
      <c r="Y245" s="64"/>
      <c r="Z245" s="64"/>
      <c r="AA245" s="64"/>
      <c r="AB245" s="64"/>
      <c r="AC245" s="64"/>
      <c r="AD245"/>
      <c r="AE245" s="134"/>
      <c r="AF245" s="134"/>
      <c r="AG245" s="131">
        <v>0</v>
      </c>
      <c r="AH245" s="131">
        <v>0</v>
      </c>
      <c r="AI245" s="131">
        <v>0</v>
      </c>
      <c r="AJ245" s="131">
        <v>10</v>
      </c>
      <c r="AK245" s="130">
        <f t="shared" ca="1" si="384"/>
        <v>0</v>
      </c>
      <c r="AL245" s="130">
        <f t="shared" ca="1" si="386"/>
        <v>0</v>
      </c>
      <c r="AM245" s="130">
        <f t="shared" ca="1" si="387"/>
        <v>0</v>
      </c>
      <c r="AN245" s="130">
        <f t="shared" ca="1" si="385"/>
        <v>0</v>
      </c>
      <c r="AO245" s="109" t="str">
        <f t="shared" si="388"/>
        <v>C0M0Y0K10</v>
      </c>
      <c r="AQ245" s="109">
        <v>78.150000000000006</v>
      </c>
      <c r="AR245" s="109">
        <v>0.96</v>
      </c>
      <c r="AS245" s="109">
        <v>4.7699999999999996</v>
      </c>
      <c r="AT245" s="109">
        <v>80.05</v>
      </c>
      <c r="AU245" s="109">
        <v>-0.05</v>
      </c>
      <c r="AV245" s="109">
        <v>2.5299999999999998</v>
      </c>
      <c r="AW245" s="109">
        <v>87.44</v>
      </c>
      <c r="AX245" s="109">
        <v>0.89</v>
      </c>
      <c r="AY245" s="109">
        <v>-3.18</v>
      </c>
      <c r="AZ245" s="109">
        <v>81.599999999999994</v>
      </c>
      <c r="BA245" s="109">
        <v>-0.11</v>
      </c>
      <c r="BB245" s="109">
        <v>2.2000000000000002</v>
      </c>
      <c r="BC245" s="109">
        <v>85.15</v>
      </c>
      <c r="BD245" s="109">
        <v>-0.02</v>
      </c>
      <c r="BE245" s="109">
        <v>-0.26</v>
      </c>
      <c r="BF245" s="109">
        <v>83.28</v>
      </c>
      <c r="BG245" s="109">
        <v>-0.02</v>
      </c>
      <c r="BH245" s="109">
        <v>3.49</v>
      </c>
      <c r="BI245" s="109">
        <v>87.87</v>
      </c>
      <c r="BJ245" s="109">
        <v>0.88</v>
      </c>
      <c r="BK245" s="109">
        <v>-3.73</v>
      </c>
      <c r="BL245" s="109">
        <v>89.66</v>
      </c>
      <c r="BM245" s="109">
        <v>0.86</v>
      </c>
      <c r="BN245" s="109">
        <v>-3.66</v>
      </c>
      <c r="BP245" s="131">
        <v>0</v>
      </c>
      <c r="BQ245" s="131">
        <v>0</v>
      </c>
      <c r="BR245" s="131">
        <v>0</v>
      </c>
      <c r="BS245" s="131">
        <v>3</v>
      </c>
      <c r="BT245" s="130">
        <f t="shared" si="380"/>
        <v>0</v>
      </c>
      <c r="BU245" s="130">
        <f t="shared" si="381"/>
        <v>1</v>
      </c>
      <c r="BV245" s="130">
        <f t="shared" ca="1" si="382"/>
        <v>0</v>
      </c>
      <c r="BW245" s="130">
        <f t="shared" ca="1" si="383"/>
        <v>1.0379968795357984E-3</v>
      </c>
      <c r="BX245" s="109" t="str">
        <f t="shared" si="389"/>
        <v>C0M0Y0K3</v>
      </c>
      <c r="BZ245" s="109">
        <v>82.89</v>
      </c>
      <c r="CA245" s="109">
        <v>0.99</v>
      </c>
      <c r="CB245" s="109">
        <v>4.95</v>
      </c>
      <c r="CC245" s="109">
        <v>84.88</v>
      </c>
      <c r="CD245" s="109">
        <v>-0.02</v>
      </c>
      <c r="CE245" s="109">
        <v>2.88</v>
      </c>
      <c r="CF245" s="109">
        <v>92.76</v>
      </c>
      <c r="CG245" s="109">
        <v>0.96</v>
      </c>
      <c r="CH245" s="109">
        <v>-3.73</v>
      </c>
      <c r="CI245" s="109">
        <v>86.73</v>
      </c>
      <c r="CJ245" s="109">
        <v>-0.04</v>
      </c>
      <c r="CK245" s="109">
        <v>2.77</v>
      </c>
      <c r="CL245" s="109">
        <v>89.87</v>
      </c>
      <c r="CM245" s="109">
        <v>0</v>
      </c>
      <c r="CN245" s="109">
        <v>-0.06</v>
      </c>
      <c r="CO245" s="109">
        <v>87.91</v>
      </c>
      <c r="CP245" s="109">
        <v>0</v>
      </c>
      <c r="CQ245" s="109">
        <v>3.86</v>
      </c>
      <c r="CR245" s="109">
        <v>92.81</v>
      </c>
      <c r="CS245" s="109">
        <v>0.96</v>
      </c>
      <c r="CT245" s="109">
        <v>-3.89</v>
      </c>
      <c r="CU245" s="109">
        <v>94.79</v>
      </c>
      <c r="CV245" s="109">
        <v>0.96</v>
      </c>
      <c r="CW245" s="109">
        <v>-3.88</v>
      </c>
      <c r="CX245" s="111"/>
      <c r="CY245" s="111"/>
      <c r="CZ245" s="111"/>
      <c r="DA245" s="111"/>
      <c r="DB245" s="111"/>
      <c r="DC245" s="111"/>
      <c r="DD245" s="111"/>
      <c r="DE245" s="111"/>
      <c r="DF245" s="111"/>
    </row>
    <row r="246" spans="2:110">
      <c r="B246" s="7"/>
      <c r="C246" s="7"/>
      <c r="D246" s="7"/>
      <c r="E246" s="7"/>
      <c r="F246" s="7"/>
      <c r="G246" s="7"/>
      <c r="H246" s="7"/>
      <c r="I246" s="7"/>
      <c r="J246" s="7"/>
      <c r="K246" s="7"/>
      <c r="L246" s="7"/>
      <c r="M246" s="7"/>
      <c r="N246" s="7"/>
      <c r="O246" s="7"/>
      <c r="P246" s="7"/>
      <c r="Q246" s="7"/>
      <c r="R246" s="64"/>
      <c r="S246" s="64"/>
      <c r="T246" s="64"/>
      <c r="U246" s="64"/>
      <c r="V246" s="64"/>
      <c r="W246" s="64"/>
      <c r="X246" s="64"/>
      <c r="Y246" s="64"/>
      <c r="Z246" s="64"/>
      <c r="AA246" s="64"/>
      <c r="AB246" s="64"/>
      <c r="AC246" s="64"/>
      <c r="AD246"/>
      <c r="AE246" s="134"/>
      <c r="AF246" s="134"/>
      <c r="AG246" s="131">
        <v>0</v>
      </c>
      <c r="AH246" s="131">
        <v>0</v>
      </c>
      <c r="AI246" s="131">
        <v>0</v>
      </c>
      <c r="AJ246" s="131">
        <v>25</v>
      </c>
      <c r="AK246" s="130">
        <f t="shared" ca="1" si="384"/>
        <v>0</v>
      </c>
      <c r="AL246" s="130">
        <f t="shared" ca="1" si="386"/>
        <v>0</v>
      </c>
      <c r="AM246" s="130">
        <f t="shared" ca="1" si="387"/>
        <v>0</v>
      </c>
      <c r="AN246" s="130">
        <f t="shared" ca="1" si="385"/>
        <v>0</v>
      </c>
      <c r="AO246" s="109" t="str">
        <f t="shared" si="388"/>
        <v>C0M0Y0K25</v>
      </c>
      <c r="AQ246" s="109">
        <v>68.790000000000006</v>
      </c>
      <c r="AR246" s="109">
        <v>0.92</v>
      </c>
      <c r="AS246" s="109">
        <v>4.46</v>
      </c>
      <c r="AT246" s="109">
        <v>70.63</v>
      </c>
      <c r="AU246" s="109">
        <v>-0.09</v>
      </c>
      <c r="AV246" s="109">
        <v>1.93</v>
      </c>
      <c r="AW246" s="109">
        <v>77.17</v>
      </c>
      <c r="AX246" s="109">
        <v>0.77</v>
      </c>
      <c r="AY246" s="109">
        <v>-2.14</v>
      </c>
      <c r="AZ246" s="109">
        <v>71.47</v>
      </c>
      <c r="BA246" s="109">
        <v>-0.22</v>
      </c>
      <c r="BB246" s="109">
        <v>1.28</v>
      </c>
      <c r="BC246" s="109">
        <v>75.349999999999994</v>
      </c>
      <c r="BD246" s="109">
        <v>-0.04</v>
      </c>
      <c r="BE246" s="109">
        <v>-0.57999999999999996</v>
      </c>
      <c r="BF246" s="109">
        <v>73.67</v>
      </c>
      <c r="BG246" s="109">
        <v>-0.04</v>
      </c>
      <c r="BH246" s="109">
        <v>2.8</v>
      </c>
      <c r="BI246" s="109">
        <v>77.66</v>
      </c>
      <c r="BJ246" s="109">
        <v>0.7</v>
      </c>
      <c r="BK246" s="109">
        <v>-3.37</v>
      </c>
      <c r="BL246" s="109">
        <v>79.239999999999995</v>
      </c>
      <c r="BM246" s="109">
        <v>0.7</v>
      </c>
      <c r="BN246" s="109">
        <v>-3.17</v>
      </c>
      <c r="BP246" s="131">
        <v>3</v>
      </c>
      <c r="BQ246" s="131">
        <v>2.238</v>
      </c>
      <c r="BR246" s="131">
        <v>2.238</v>
      </c>
      <c r="BS246" s="131">
        <v>0</v>
      </c>
      <c r="BT246" s="130">
        <f t="shared" si="380"/>
        <v>0</v>
      </c>
      <c r="BU246" s="130">
        <f t="shared" si="381"/>
        <v>1</v>
      </c>
      <c r="BV246" s="130">
        <f t="shared" ca="1" si="382"/>
        <v>0</v>
      </c>
      <c r="BW246" s="130">
        <f t="shared" ca="1" si="383"/>
        <v>1.0684034611981249E-3</v>
      </c>
      <c r="BX246" s="109" t="str">
        <f t="shared" si="389"/>
        <v>C3M2Y2K0</v>
      </c>
      <c r="BZ246" s="109">
        <v>82.56</v>
      </c>
      <c r="CA246" s="109">
        <v>1.17</v>
      </c>
      <c r="CB246" s="109">
        <v>4.8600000000000003</v>
      </c>
      <c r="CC246" s="109">
        <v>84.68</v>
      </c>
      <c r="CD246" s="109">
        <v>0.19</v>
      </c>
      <c r="CE246" s="109">
        <v>2.89</v>
      </c>
      <c r="CF246" s="109">
        <v>92.47</v>
      </c>
      <c r="CG246" s="109">
        <v>1.1599999999999999</v>
      </c>
      <c r="CH246" s="109">
        <v>-3.73</v>
      </c>
      <c r="CI246" s="109">
        <v>86.53</v>
      </c>
      <c r="CJ246" s="109">
        <v>0.15</v>
      </c>
      <c r="CK246" s="109">
        <v>2.86</v>
      </c>
      <c r="CL246" s="109">
        <v>89.63</v>
      </c>
      <c r="CM246" s="109">
        <v>0.23</v>
      </c>
      <c r="CN246" s="109">
        <v>0.06</v>
      </c>
      <c r="CO246" s="109">
        <v>87.68</v>
      </c>
      <c r="CP246" s="109">
        <v>0.22</v>
      </c>
      <c r="CQ246" s="109">
        <v>3.97</v>
      </c>
      <c r="CR246" s="109">
        <v>92.53</v>
      </c>
      <c r="CS246" s="109">
        <v>1.19</v>
      </c>
      <c r="CT246" s="109">
        <v>-3.84</v>
      </c>
      <c r="CU246" s="109">
        <v>94.51</v>
      </c>
      <c r="CV246" s="109">
        <v>1.2</v>
      </c>
      <c r="CW246" s="109">
        <v>-3.93</v>
      </c>
      <c r="CX246" s="111"/>
      <c r="CY246" s="111"/>
      <c r="CZ246" s="111"/>
      <c r="DA246" s="111"/>
      <c r="DB246" s="111"/>
      <c r="DC246" s="111"/>
      <c r="DD246" s="111"/>
      <c r="DE246" s="111"/>
      <c r="DF246" s="111"/>
    </row>
    <row r="247" spans="2:110">
      <c r="B247" s="7"/>
      <c r="C247" s="7"/>
      <c r="D247" s="7"/>
      <c r="E247" s="7"/>
      <c r="F247" s="7"/>
      <c r="G247" s="7"/>
      <c r="H247" s="7"/>
      <c r="I247" s="7"/>
      <c r="J247" s="7"/>
      <c r="K247" s="7"/>
      <c r="L247" s="7"/>
      <c r="M247" s="7"/>
      <c r="N247" s="7"/>
      <c r="O247" s="7"/>
      <c r="P247" s="7"/>
      <c r="Q247" s="7"/>
      <c r="R247" s="64"/>
      <c r="S247" s="64"/>
      <c r="T247" s="64"/>
      <c r="U247" s="64"/>
      <c r="V247" s="64"/>
      <c r="W247" s="64"/>
      <c r="X247" s="64"/>
      <c r="Y247" s="64"/>
      <c r="Z247" s="64"/>
      <c r="AA247" s="64"/>
      <c r="AB247" s="64"/>
      <c r="AC247" s="64"/>
      <c r="AD247"/>
      <c r="AE247" s="134"/>
      <c r="AF247" s="134"/>
      <c r="AG247" s="131">
        <v>0</v>
      </c>
      <c r="AH247" s="131">
        <v>0</v>
      </c>
      <c r="AI247" s="131">
        <v>0</v>
      </c>
      <c r="AJ247" s="131">
        <v>50</v>
      </c>
      <c r="AK247" s="130">
        <f t="shared" ca="1" si="384"/>
        <v>0</v>
      </c>
      <c r="AL247" s="130">
        <f t="shared" ca="1" si="386"/>
        <v>0</v>
      </c>
      <c r="AM247" s="130">
        <f t="shared" ca="1" si="387"/>
        <v>0</v>
      </c>
      <c r="AN247" s="130">
        <f t="shared" ca="1" si="385"/>
        <v>0</v>
      </c>
      <c r="AO247" s="109" t="str">
        <f t="shared" si="388"/>
        <v>C0M0Y0K50</v>
      </c>
      <c r="AQ247" s="109">
        <v>55.06</v>
      </c>
      <c r="AR247" s="109">
        <v>0.96</v>
      </c>
      <c r="AS247" s="109">
        <v>4.1399999999999997</v>
      </c>
      <c r="AT247" s="109">
        <v>56.19</v>
      </c>
      <c r="AU247" s="109">
        <v>0.04</v>
      </c>
      <c r="AV247" s="109">
        <v>1.35</v>
      </c>
      <c r="AW247" s="109">
        <v>61.36</v>
      </c>
      <c r="AX247" s="109">
        <v>0.7</v>
      </c>
      <c r="AY247" s="109">
        <v>-0.75</v>
      </c>
      <c r="AZ247" s="109">
        <v>55.52</v>
      </c>
      <c r="BA247" s="109">
        <v>-0.16</v>
      </c>
      <c r="BB247" s="109">
        <v>0.47</v>
      </c>
      <c r="BC247" s="109">
        <v>58.84</v>
      </c>
      <c r="BD247" s="109">
        <v>-0.05</v>
      </c>
      <c r="BE247" s="109">
        <v>-0.66</v>
      </c>
      <c r="BF247" s="109">
        <v>57.49</v>
      </c>
      <c r="BG247" s="109">
        <v>-0.05</v>
      </c>
      <c r="BH247" s="109">
        <v>2.08</v>
      </c>
      <c r="BI247" s="109">
        <v>60.4</v>
      </c>
      <c r="BJ247" s="109">
        <v>0.46</v>
      </c>
      <c r="BK247" s="109">
        <v>-2.59</v>
      </c>
      <c r="BL247" s="109">
        <v>61.48</v>
      </c>
      <c r="BM247" s="109">
        <v>0.45</v>
      </c>
      <c r="BN247" s="109">
        <v>-2.36</v>
      </c>
      <c r="BP247" s="131">
        <v>70</v>
      </c>
      <c r="BQ247" s="131">
        <v>70</v>
      </c>
      <c r="BR247" s="131">
        <v>40</v>
      </c>
      <c r="BS247" s="131">
        <v>0</v>
      </c>
      <c r="BT247" s="130">
        <f t="shared" si="380"/>
        <v>0</v>
      </c>
      <c r="BU247" s="130">
        <f t="shared" si="381"/>
        <v>1</v>
      </c>
      <c r="BV247" s="130">
        <f t="shared" ca="1" si="382"/>
        <v>0</v>
      </c>
      <c r="BW247" s="130">
        <f t="shared" ca="1" si="383"/>
        <v>0.30026275577543693</v>
      </c>
      <c r="BX247" s="109" t="str">
        <f t="shared" si="389"/>
        <v>C70M70Y40K0</v>
      </c>
      <c r="BZ247" s="109">
        <v>46.27</v>
      </c>
      <c r="CA247" s="109">
        <v>4.9800000000000004</v>
      </c>
      <c r="CB247" s="109">
        <v>-5.29</v>
      </c>
      <c r="CC247" s="109">
        <v>42.27</v>
      </c>
      <c r="CD247" s="109">
        <v>7.59</v>
      </c>
      <c r="CE247" s="109">
        <v>-9.49</v>
      </c>
      <c r="CF247" s="109">
        <v>46.04</v>
      </c>
      <c r="CG247" s="109">
        <v>6.96</v>
      </c>
      <c r="CH247" s="109">
        <v>-10.76</v>
      </c>
      <c r="CI247" s="109">
        <v>39.68</v>
      </c>
      <c r="CJ247" s="109">
        <v>8.11</v>
      </c>
      <c r="CK247" s="109">
        <v>-11.16</v>
      </c>
      <c r="CL247" s="109">
        <v>39.49</v>
      </c>
      <c r="CM247" s="109">
        <v>10.55</v>
      </c>
      <c r="CN247" s="109">
        <v>-12.95</v>
      </c>
      <c r="CO247" s="109">
        <v>38.549999999999997</v>
      </c>
      <c r="CP247" s="109">
        <v>10.32</v>
      </c>
      <c r="CQ247" s="109">
        <v>-10.43</v>
      </c>
      <c r="CR247" s="109">
        <v>40.049999999999997</v>
      </c>
      <c r="CS247" s="109">
        <v>10.76</v>
      </c>
      <c r="CT247" s="109">
        <v>-14.57</v>
      </c>
      <c r="CU247" s="109">
        <v>38.549999999999997</v>
      </c>
      <c r="CV247" s="109">
        <v>12.19</v>
      </c>
      <c r="CW247" s="109">
        <v>-15.96</v>
      </c>
      <c r="CX247" s="111"/>
      <c r="CY247" s="111"/>
      <c r="CZ247" s="111"/>
      <c r="DA247" s="111"/>
      <c r="DB247" s="111"/>
      <c r="DC247" s="111"/>
      <c r="DD247" s="111"/>
      <c r="DE247" s="111"/>
      <c r="DF247" s="111"/>
    </row>
    <row r="248" spans="2:110">
      <c r="B248" s="7"/>
      <c r="C248" s="7"/>
      <c r="D248" s="7"/>
      <c r="E248" s="7"/>
      <c r="F248" s="7"/>
      <c r="G248" s="7"/>
      <c r="H248" s="7"/>
      <c r="I248" s="7"/>
      <c r="J248" s="7"/>
      <c r="K248" s="7"/>
      <c r="L248" s="7"/>
      <c r="M248" s="7"/>
      <c r="N248" s="7"/>
      <c r="O248" s="7"/>
      <c r="P248" s="7"/>
      <c r="Q248" s="7"/>
      <c r="R248" s="64"/>
      <c r="S248" s="64"/>
      <c r="T248" s="64"/>
      <c r="U248" s="64"/>
      <c r="V248" s="64"/>
      <c r="W248" s="64"/>
      <c r="X248" s="64"/>
      <c r="Y248" s="64"/>
      <c r="Z248" s="64"/>
      <c r="AA248" s="64"/>
      <c r="AB248" s="64"/>
      <c r="AC248" s="64"/>
      <c r="AD248"/>
      <c r="AE248" s="134"/>
      <c r="AF248" s="134"/>
      <c r="AG248" s="131">
        <v>0</v>
      </c>
      <c r="AH248" s="131">
        <v>0</v>
      </c>
      <c r="AI248" s="131">
        <v>0</v>
      </c>
      <c r="AJ248" s="131">
        <v>75</v>
      </c>
      <c r="AK248" s="130">
        <f t="shared" ca="1" si="384"/>
        <v>0</v>
      </c>
      <c r="AL248" s="130">
        <f t="shared" ca="1" si="386"/>
        <v>0</v>
      </c>
      <c r="AM248" s="130">
        <f t="shared" ca="1" si="387"/>
        <v>0</v>
      </c>
      <c r="AN248" s="130">
        <f t="shared" ca="1" si="385"/>
        <v>0</v>
      </c>
      <c r="AO248" s="109" t="str">
        <f t="shared" si="388"/>
        <v>C0M0Y0K75</v>
      </c>
      <c r="AQ248" s="109">
        <v>44.16</v>
      </c>
      <c r="AR248" s="109">
        <v>1.02</v>
      </c>
      <c r="AS248" s="109">
        <v>4.07</v>
      </c>
      <c r="AT248" s="109">
        <v>41.75</v>
      </c>
      <c r="AU248" s="109">
        <v>0.44</v>
      </c>
      <c r="AV248" s="109">
        <v>1.41</v>
      </c>
      <c r="AW248" s="109">
        <v>45.36</v>
      </c>
      <c r="AX248" s="109">
        <v>0.78</v>
      </c>
      <c r="AY248" s="109">
        <v>0.33</v>
      </c>
      <c r="AZ248" s="109">
        <v>38.729999999999997</v>
      </c>
      <c r="BA248" s="109">
        <v>0.33</v>
      </c>
      <c r="BB248" s="109">
        <v>0.8</v>
      </c>
      <c r="BC248" s="109">
        <v>40.06</v>
      </c>
      <c r="BD248" s="109">
        <v>-0.1</v>
      </c>
      <c r="BE248" s="109">
        <v>-0.15</v>
      </c>
      <c r="BF248" s="109">
        <v>39.11</v>
      </c>
      <c r="BG248" s="109">
        <v>-0.1</v>
      </c>
      <c r="BH248" s="109">
        <v>1.8</v>
      </c>
      <c r="BI248" s="109">
        <v>40.369999999999997</v>
      </c>
      <c r="BJ248" s="109">
        <v>0.21</v>
      </c>
      <c r="BK248" s="109">
        <v>-1.49</v>
      </c>
      <c r="BL248" s="109">
        <v>40.68</v>
      </c>
      <c r="BM248" s="109">
        <v>0.21</v>
      </c>
      <c r="BN248" s="109">
        <v>-1.35</v>
      </c>
      <c r="BP248" s="131">
        <v>0</v>
      </c>
      <c r="BQ248" s="131">
        <v>0</v>
      </c>
      <c r="BR248" s="131">
        <v>0</v>
      </c>
      <c r="BS248" s="131">
        <v>10</v>
      </c>
      <c r="BT248" s="130">
        <f t="shared" si="380"/>
        <v>0</v>
      </c>
      <c r="BU248" s="130">
        <f t="shared" si="381"/>
        <v>1</v>
      </c>
      <c r="BV248" s="130">
        <f t="shared" ca="1" si="382"/>
        <v>0</v>
      </c>
      <c r="BW248" s="130">
        <f t="shared" ca="1" si="383"/>
        <v>6.6043368185344164E-4</v>
      </c>
      <c r="BX248" s="109" t="str">
        <f t="shared" si="389"/>
        <v>C0M0Y0K10</v>
      </c>
      <c r="BZ248" s="109">
        <v>78.150000000000006</v>
      </c>
      <c r="CA248" s="109">
        <v>0.96</v>
      </c>
      <c r="CB248" s="109">
        <v>4.7699999999999996</v>
      </c>
      <c r="CC248" s="109">
        <v>80.05</v>
      </c>
      <c r="CD248" s="109">
        <v>-0.05</v>
      </c>
      <c r="CE248" s="109">
        <v>2.5299999999999998</v>
      </c>
      <c r="CF248" s="109">
        <v>87.44</v>
      </c>
      <c r="CG248" s="109">
        <v>0.89</v>
      </c>
      <c r="CH248" s="109">
        <v>-3.18</v>
      </c>
      <c r="CI248" s="109">
        <v>81.599999999999994</v>
      </c>
      <c r="CJ248" s="109">
        <v>-0.11</v>
      </c>
      <c r="CK248" s="109">
        <v>2.2000000000000002</v>
      </c>
      <c r="CL248" s="109">
        <v>85.15</v>
      </c>
      <c r="CM248" s="109">
        <v>-0.02</v>
      </c>
      <c r="CN248" s="109">
        <v>-0.26</v>
      </c>
      <c r="CO248" s="109">
        <v>83.28</v>
      </c>
      <c r="CP248" s="109">
        <v>-0.02</v>
      </c>
      <c r="CQ248" s="109">
        <v>3.49</v>
      </c>
      <c r="CR248" s="109">
        <v>87.87</v>
      </c>
      <c r="CS248" s="109">
        <v>0.88</v>
      </c>
      <c r="CT248" s="109">
        <v>-3.73</v>
      </c>
      <c r="CU248" s="109">
        <v>89.66</v>
      </c>
      <c r="CV248" s="109">
        <v>0.86</v>
      </c>
      <c r="CW248" s="109">
        <v>-3.66</v>
      </c>
      <c r="CX248" s="111"/>
      <c r="CY248" s="111"/>
      <c r="CZ248" s="111"/>
      <c r="DA248" s="111"/>
      <c r="DB248" s="111"/>
      <c r="DC248" s="111"/>
      <c r="DD248" s="111"/>
      <c r="DE248" s="111"/>
      <c r="DF248" s="111"/>
    </row>
    <row r="249" spans="2:110">
      <c r="B249" s="7"/>
      <c r="C249" s="7"/>
      <c r="D249" s="7"/>
      <c r="E249" s="7"/>
      <c r="F249" s="7"/>
      <c r="G249" s="7"/>
      <c r="H249" s="7"/>
      <c r="I249" s="7"/>
      <c r="J249" s="7"/>
      <c r="K249" s="7"/>
      <c r="L249" s="7"/>
      <c r="M249" s="7"/>
      <c r="N249" s="7"/>
      <c r="O249" s="7"/>
      <c r="P249" s="7"/>
      <c r="Q249" s="7"/>
      <c r="R249" s="64"/>
      <c r="S249" s="64"/>
      <c r="T249" s="64"/>
      <c r="U249" s="64"/>
      <c r="V249" s="64"/>
      <c r="W249" s="64"/>
      <c r="X249" s="64"/>
      <c r="Y249" s="64"/>
      <c r="Z249" s="64"/>
      <c r="AA249" s="64"/>
      <c r="AB249" s="64"/>
      <c r="AC249" s="64"/>
      <c r="AD249"/>
      <c r="AE249" s="134"/>
      <c r="AF249" s="134"/>
      <c r="AG249" s="131">
        <v>0</v>
      </c>
      <c r="AH249" s="131">
        <v>0</v>
      </c>
      <c r="AI249" s="131">
        <v>0</v>
      </c>
      <c r="AJ249" s="131">
        <v>90</v>
      </c>
      <c r="AK249" s="130">
        <f t="shared" ca="1" si="384"/>
        <v>0</v>
      </c>
      <c r="AL249" s="130">
        <f t="shared" ca="1" si="386"/>
        <v>0</v>
      </c>
      <c r="AM249" s="130">
        <f t="shared" ca="1" si="387"/>
        <v>0</v>
      </c>
      <c r="AN249" s="130">
        <f t="shared" ca="1" si="385"/>
        <v>0</v>
      </c>
      <c r="AO249" s="109" t="str">
        <f t="shared" si="388"/>
        <v>C0M0Y0K90</v>
      </c>
      <c r="AQ249" s="109">
        <v>39.26</v>
      </c>
      <c r="AR249" s="109">
        <v>1.08</v>
      </c>
      <c r="AS249" s="109">
        <v>4.0999999999999996</v>
      </c>
      <c r="AT249" s="109">
        <v>33.65</v>
      </c>
      <c r="AU249" s="109">
        <v>0.82</v>
      </c>
      <c r="AV249" s="109">
        <v>1.74</v>
      </c>
      <c r="AW249" s="109">
        <v>36.22</v>
      </c>
      <c r="AX249" s="109">
        <v>0.91</v>
      </c>
      <c r="AY249" s="109">
        <v>0.78</v>
      </c>
      <c r="AZ249" s="109">
        <v>28.23</v>
      </c>
      <c r="BA249" s="109">
        <v>0.75</v>
      </c>
      <c r="BB249" s="109">
        <v>1.53</v>
      </c>
      <c r="BC249" s="109">
        <v>27.09</v>
      </c>
      <c r="BD249" s="109">
        <v>-0.04</v>
      </c>
      <c r="BE249" s="109">
        <v>0.45</v>
      </c>
      <c r="BF249" s="109">
        <v>26.45</v>
      </c>
      <c r="BG249" s="109">
        <v>-0.04</v>
      </c>
      <c r="BH249" s="109">
        <v>1.78</v>
      </c>
      <c r="BI249" s="109">
        <v>25.78</v>
      </c>
      <c r="BJ249" s="109">
        <v>0.13</v>
      </c>
      <c r="BK249" s="109">
        <v>-0.63</v>
      </c>
      <c r="BL249" s="109">
        <v>25.01</v>
      </c>
      <c r="BM249" s="109">
        <v>0.04</v>
      </c>
      <c r="BN249" s="109">
        <v>-0.56999999999999995</v>
      </c>
      <c r="BP249" s="131">
        <v>10</v>
      </c>
      <c r="BQ249" s="131">
        <v>7.4580000000000002</v>
      </c>
      <c r="BR249" s="131">
        <v>7.4580000000000002</v>
      </c>
      <c r="BS249" s="131">
        <v>0</v>
      </c>
      <c r="BT249" s="130">
        <f t="shared" si="380"/>
        <v>0</v>
      </c>
      <c r="BU249" s="130">
        <f t="shared" si="381"/>
        <v>1</v>
      </c>
      <c r="BV249" s="130">
        <f t="shared" ca="1" si="382"/>
        <v>0</v>
      </c>
      <c r="BW249" s="130">
        <f t="shared" ca="1" si="383"/>
        <v>9.0325104939023842E-4</v>
      </c>
      <c r="BX249" s="109" t="str">
        <f t="shared" si="389"/>
        <v>C10M7Y7K0</v>
      </c>
      <c r="BZ249" s="109">
        <v>77.52</v>
      </c>
      <c r="CA249" s="109">
        <v>1.1100000000000001</v>
      </c>
      <c r="CB249" s="109">
        <v>4.59</v>
      </c>
      <c r="CC249" s="109">
        <v>79.459999999999994</v>
      </c>
      <c r="CD249" s="109">
        <v>0.21</v>
      </c>
      <c r="CE249" s="109">
        <v>2.75</v>
      </c>
      <c r="CF249" s="109">
        <v>86.87</v>
      </c>
      <c r="CG249" s="109">
        <v>1.1000000000000001</v>
      </c>
      <c r="CH249" s="109">
        <v>-3.39</v>
      </c>
      <c r="CI249" s="109">
        <v>81.25</v>
      </c>
      <c r="CJ249" s="109">
        <v>0.16</v>
      </c>
      <c r="CK249" s="109">
        <v>2.75</v>
      </c>
      <c r="CL249" s="109">
        <v>84.15</v>
      </c>
      <c r="CM249" s="109">
        <v>0.23</v>
      </c>
      <c r="CN249" s="109">
        <v>0.12</v>
      </c>
      <c r="CO249" s="109">
        <v>82.3</v>
      </c>
      <c r="CP249" s="109">
        <v>0.22</v>
      </c>
      <c r="CQ249" s="109">
        <v>3.81</v>
      </c>
      <c r="CR249" s="109">
        <v>86.91</v>
      </c>
      <c r="CS249" s="109">
        <v>1.1200000000000001</v>
      </c>
      <c r="CT249" s="109">
        <v>-3.47</v>
      </c>
      <c r="CU249" s="109">
        <v>88.77</v>
      </c>
      <c r="CV249" s="109">
        <v>1.1399999999999999</v>
      </c>
      <c r="CW249" s="109">
        <v>-3.58</v>
      </c>
      <c r="CX249" s="111"/>
      <c r="CY249" s="111"/>
      <c r="CZ249" s="111"/>
      <c r="DA249" s="111"/>
      <c r="DB249" s="111"/>
      <c r="DC249" s="111"/>
      <c r="DD249" s="111"/>
      <c r="DE249" s="111"/>
      <c r="DF249" s="111"/>
    </row>
    <row r="250" spans="2:110">
      <c r="B250" s="7"/>
      <c r="C250" s="7"/>
      <c r="D250" s="7"/>
      <c r="E250" s="7"/>
      <c r="F250" s="7"/>
      <c r="G250" s="7"/>
      <c r="H250" s="7"/>
      <c r="I250" s="7"/>
      <c r="J250" s="7"/>
      <c r="K250" s="7"/>
      <c r="L250" s="7"/>
      <c r="M250" s="7"/>
      <c r="N250" s="7"/>
      <c r="O250" s="7"/>
      <c r="P250" s="7"/>
      <c r="Q250" s="7"/>
      <c r="R250" s="64"/>
      <c r="S250" s="64"/>
      <c r="T250" s="64"/>
      <c r="U250" s="64"/>
      <c r="V250" s="64"/>
      <c r="W250" s="64"/>
      <c r="X250" s="64"/>
      <c r="Y250" s="64"/>
      <c r="Z250" s="64"/>
      <c r="AA250" s="64"/>
      <c r="AB250" s="64"/>
      <c r="AC250" s="64"/>
      <c r="AD250"/>
      <c r="AE250" s="134"/>
      <c r="AF250" s="134"/>
      <c r="AG250" s="131">
        <v>0</v>
      </c>
      <c r="AH250" s="131">
        <v>0</v>
      </c>
      <c r="AI250" s="131">
        <v>0</v>
      </c>
      <c r="AJ250" s="131">
        <v>100</v>
      </c>
      <c r="AK250" s="130">
        <f t="shared" ca="1" si="384"/>
        <v>0</v>
      </c>
      <c r="AL250" s="130">
        <f t="shared" ca="1" si="386"/>
        <v>0</v>
      </c>
      <c r="AM250" s="130">
        <f t="shared" ca="1" si="387"/>
        <v>0</v>
      </c>
      <c r="AN250" s="130">
        <f t="shared" ca="1" si="385"/>
        <v>0</v>
      </c>
      <c r="AO250" s="109" t="str">
        <f t="shared" si="388"/>
        <v>C0M0Y0K100</v>
      </c>
      <c r="AQ250" s="109">
        <v>37</v>
      </c>
      <c r="AR250" s="109">
        <v>1</v>
      </c>
      <c r="AS250" s="109">
        <v>4</v>
      </c>
      <c r="AT250" s="109">
        <v>30</v>
      </c>
      <c r="AU250" s="109">
        <v>1</v>
      </c>
      <c r="AV250" s="109">
        <v>2</v>
      </c>
      <c r="AW250" s="109">
        <v>32</v>
      </c>
      <c r="AX250" s="109">
        <v>1</v>
      </c>
      <c r="AY250" s="109">
        <v>1</v>
      </c>
      <c r="AZ250" s="109">
        <v>23</v>
      </c>
      <c r="BA250" s="109">
        <v>1</v>
      </c>
      <c r="BB250" s="109">
        <v>2</v>
      </c>
      <c r="BC250" s="109">
        <v>19</v>
      </c>
      <c r="BD250" s="109">
        <v>0</v>
      </c>
      <c r="BE250" s="109">
        <v>1</v>
      </c>
      <c r="BF250" s="109">
        <v>18.59</v>
      </c>
      <c r="BG250" s="109">
        <v>0</v>
      </c>
      <c r="BH250" s="109">
        <v>1.85</v>
      </c>
      <c r="BI250" s="109">
        <v>16</v>
      </c>
      <c r="BJ250" s="109">
        <v>1.0000000000000001E-5</v>
      </c>
      <c r="BK250" s="109">
        <v>1.0000000000000001E-5</v>
      </c>
      <c r="BL250" s="109">
        <v>14</v>
      </c>
      <c r="BM250" s="109">
        <v>0</v>
      </c>
      <c r="BN250" s="109">
        <v>0</v>
      </c>
      <c r="BP250" s="131">
        <v>40</v>
      </c>
      <c r="BQ250" s="131">
        <v>70</v>
      </c>
      <c r="BR250" s="131">
        <v>40</v>
      </c>
      <c r="BS250" s="131">
        <v>0</v>
      </c>
      <c r="BT250" s="130">
        <f t="shared" si="380"/>
        <v>0</v>
      </c>
      <c r="BU250" s="130">
        <f t="shared" si="381"/>
        <v>1</v>
      </c>
      <c r="BV250" s="130">
        <f t="shared" ca="1" si="382"/>
        <v>0</v>
      </c>
      <c r="BW250" s="130">
        <f t="shared" ca="1" si="383"/>
        <v>1.5933853349646112</v>
      </c>
      <c r="BX250" s="109" t="str">
        <f t="shared" si="389"/>
        <v>C40M70Y40K0</v>
      </c>
      <c r="BZ250" s="109">
        <v>50.64</v>
      </c>
      <c r="CA250" s="109">
        <v>16.93</v>
      </c>
      <c r="CB250" s="109">
        <v>1.61</v>
      </c>
      <c r="CC250" s="109">
        <v>47.71</v>
      </c>
      <c r="CD250" s="109">
        <v>21.96</v>
      </c>
      <c r="CE250" s="109">
        <v>-0.42</v>
      </c>
      <c r="CF250" s="109">
        <v>52.3</v>
      </c>
      <c r="CG250" s="109">
        <v>21.64</v>
      </c>
      <c r="CH250" s="109">
        <v>-2.29</v>
      </c>
      <c r="CI250" s="109">
        <v>46.32</v>
      </c>
      <c r="CJ250" s="109">
        <v>24.84</v>
      </c>
      <c r="CK250" s="109">
        <v>0.13</v>
      </c>
      <c r="CL250" s="109">
        <v>46.54</v>
      </c>
      <c r="CM250" s="109">
        <v>28.02</v>
      </c>
      <c r="CN250" s="109">
        <v>-0.76</v>
      </c>
      <c r="CO250" s="109">
        <v>45.44</v>
      </c>
      <c r="CP250" s="109">
        <v>27.43</v>
      </c>
      <c r="CQ250" s="109">
        <v>1.49</v>
      </c>
      <c r="CR250" s="109">
        <v>47.97</v>
      </c>
      <c r="CS250" s="109">
        <v>28.45</v>
      </c>
      <c r="CT250" s="109">
        <v>-1.64</v>
      </c>
      <c r="CU250" s="109">
        <v>47.73</v>
      </c>
      <c r="CV250" s="109">
        <v>30.11</v>
      </c>
      <c r="CW250" s="109">
        <v>-2.76</v>
      </c>
      <c r="CX250" s="111"/>
      <c r="CY250" s="111"/>
      <c r="CZ250" s="111"/>
      <c r="DA250" s="111"/>
      <c r="DB250" s="111"/>
      <c r="DC250" s="111"/>
      <c r="DD250" s="111"/>
      <c r="DE250" s="111"/>
      <c r="DF250" s="111"/>
    </row>
    <row r="251" spans="2:110">
      <c r="B251" s="7"/>
      <c r="C251" s="7"/>
      <c r="D251" s="7"/>
      <c r="E251" s="7"/>
      <c r="F251" s="7"/>
      <c r="G251" s="7"/>
      <c r="H251" s="7"/>
      <c r="I251" s="7"/>
      <c r="J251" s="7"/>
      <c r="K251" s="7"/>
      <c r="L251" s="7"/>
      <c r="M251" s="7"/>
      <c r="N251" s="7"/>
      <c r="O251" s="7"/>
      <c r="P251" s="7"/>
      <c r="Q251" s="7"/>
      <c r="R251" s="64"/>
      <c r="S251" s="64"/>
      <c r="T251" s="64"/>
      <c r="U251" s="64"/>
      <c r="V251" s="64"/>
      <c r="W251" s="64"/>
      <c r="X251" s="64"/>
      <c r="Y251" s="64"/>
      <c r="Z251" s="64"/>
      <c r="AA251" s="64"/>
      <c r="AB251" s="64"/>
      <c r="AC251" s="64"/>
      <c r="AD251" s="64"/>
      <c r="AE251" s="134"/>
      <c r="AF251" s="134"/>
      <c r="AG251" s="107"/>
      <c r="AH251" s="107"/>
      <c r="AI251" s="107"/>
      <c r="AJ251" s="107"/>
      <c r="BK251" s="107"/>
      <c r="BL251" s="107"/>
      <c r="BM251" s="107"/>
      <c r="BN251" s="108"/>
      <c r="BO251" s="107"/>
      <c r="BP251" s="121">
        <v>0</v>
      </c>
      <c r="BQ251" s="121">
        <v>0</v>
      </c>
      <c r="BR251" s="121">
        <v>0</v>
      </c>
      <c r="BS251" s="121">
        <v>25</v>
      </c>
      <c r="BT251" s="130">
        <f t="shared" si="380"/>
        <v>0</v>
      </c>
      <c r="BU251" s="130">
        <f t="shared" si="381"/>
        <v>1</v>
      </c>
      <c r="BV251" s="130">
        <f t="shared" ca="1" si="382"/>
        <v>0</v>
      </c>
      <c r="BW251" s="130">
        <f t="shared" ca="1" si="383"/>
        <v>2.5786934871120144E-4</v>
      </c>
      <c r="BX251" s="109" t="str">
        <f t="shared" si="389"/>
        <v>C0M0Y0K25</v>
      </c>
      <c r="BZ251" s="112">
        <v>68.790000000000006</v>
      </c>
      <c r="CA251" s="112">
        <v>0.92</v>
      </c>
      <c r="CB251" s="112">
        <v>4.46</v>
      </c>
      <c r="CC251" s="112">
        <v>70.63</v>
      </c>
      <c r="CD251" s="112">
        <v>-0.09</v>
      </c>
      <c r="CE251" s="112">
        <v>1.93</v>
      </c>
      <c r="CF251" s="112">
        <v>77.17</v>
      </c>
      <c r="CG251" s="112">
        <v>0.77</v>
      </c>
      <c r="CH251" s="112">
        <v>-2.14</v>
      </c>
      <c r="CI251" s="112">
        <v>71.47</v>
      </c>
      <c r="CJ251" s="112">
        <v>-0.22</v>
      </c>
      <c r="CK251" s="112">
        <v>1.28</v>
      </c>
      <c r="CL251" s="112">
        <v>75.349999999999994</v>
      </c>
      <c r="CM251" s="112">
        <v>-0.04</v>
      </c>
      <c r="CN251" s="112">
        <v>-0.57999999999999996</v>
      </c>
      <c r="CO251" s="112">
        <v>73.67</v>
      </c>
      <c r="CP251" s="112">
        <v>-0.04</v>
      </c>
      <c r="CQ251" s="112">
        <v>2.8</v>
      </c>
      <c r="CR251" s="112">
        <v>77.66</v>
      </c>
      <c r="CS251" s="112">
        <v>0.7</v>
      </c>
      <c r="CT251" s="112">
        <v>-3.37</v>
      </c>
      <c r="CU251" s="112">
        <v>79.239999999999995</v>
      </c>
      <c r="CV251" s="112">
        <v>0.7</v>
      </c>
      <c r="CW251" s="109">
        <v>-3.17</v>
      </c>
    </row>
    <row r="252" spans="2:110">
      <c r="B252" s="7"/>
      <c r="C252" s="7"/>
      <c r="D252" s="7"/>
      <c r="E252" s="7"/>
      <c r="F252" s="7"/>
      <c r="G252" s="7"/>
      <c r="H252" s="7"/>
      <c r="I252" s="7"/>
      <c r="J252" s="7"/>
      <c r="K252" s="7"/>
      <c r="L252" s="7"/>
      <c r="M252" s="7"/>
      <c r="N252" s="7"/>
      <c r="O252" s="7"/>
      <c r="P252" s="7"/>
      <c r="Q252" s="7"/>
      <c r="R252" s="64"/>
      <c r="S252" s="64"/>
      <c r="T252" s="64"/>
      <c r="U252" s="64"/>
      <c r="V252" s="64"/>
      <c r="W252" s="64"/>
      <c r="X252" s="64"/>
      <c r="Y252" s="64"/>
      <c r="Z252" s="64"/>
      <c r="AA252" s="64"/>
      <c r="AB252" s="64"/>
      <c r="AC252" s="64"/>
      <c r="AD252" s="64"/>
      <c r="AE252" s="134"/>
      <c r="AF252" s="134"/>
      <c r="AG252" s="109"/>
      <c r="AH252" s="109"/>
      <c r="AI252" s="109"/>
      <c r="AJ252" s="109"/>
      <c r="AK252" s="108"/>
      <c r="AL252" s="108"/>
      <c r="AM252" s="108"/>
      <c r="AN252" s="108"/>
      <c r="BK252" s="107"/>
      <c r="BL252" s="107"/>
      <c r="BM252" s="107"/>
      <c r="BN252" s="107"/>
      <c r="BO252" s="107"/>
      <c r="BP252" s="121">
        <v>25</v>
      </c>
      <c r="BQ252" s="121">
        <v>18.878</v>
      </c>
      <c r="BR252" s="121">
        <v>18.878</v>
      </c>
      <c r="BS252" s="121">
        <v>0</v>
      </c>
      <c r="BT252" s="130">
        <f t="shared" si="380"/>
        <v>0</v>
      </c>
      <c r="BU252" s="130">
        <f t="shared" si="381"/>
        <v>1</v>
      </c>
      <c r="BV252" s="130">
        <f t="shared" ca="1" si="382"/>
        <v>0</v>
      </c>
      <c r="BW252" s="130">
        <f t="shared" ca="1" si="383"/>
        <v>4.0698219883022937E-4</v>
      </c>
      <c r="BX252" s="109" t="str">
        <f t="shared" si="389"/>
        <v>C25M19Y19K0</v>
      </c>
      <c r="BZ252" s="112">
        <v>67.680000000000007</v>
      </c>
      <c r="CA252" s="112">
        <v>0.76</v>
      </c>
      <c r="CB252" s="112">
        <v>3.72</v>
      </c>
      <c r="CC252" s="112">
        <v>68.97</v>
      </c>
      <c r="CD252" s="112">
        <v>0.09</v>
      </c>
      <c r="CE252" s="112">
        <v>2.2000000000000002</v>
      </c>
      <c r="CF252" s="112">
        <v>75.5</v>
      </c>
      <c r="CG252" s="112">
        <v>0.82</v>
      </c>
      <c r="CH252" s="112">
        <v>-2.89</v>
      </c>
      <c r="CI252" s="112">
        <v>70.5</v>
      </c>
      <c r="CJ252" s="112">
        <v>0.08</v>
      </c>
      <c r="CK252" s="112">
        <v>2.2599999999999998</v>
      </c>
      <c r="CL252" s="112">
        <v>73.010000000000005</v>
      </c>
      <c r="CM252" s="112">
        <v>0.03</v>
      </c>
      <c r="CN252" s="112">
        <v>0.04</v>
      </c>
      <c r="CO252" s="112">
        <v>71.38</v>
      </c>
      <c r="CP252" s="112">
        <v>0.02</v>
      </c>
      <c r="CQ252" s="112">
        <v>3.31</v>
      </c>
      <c r="CR252" s="112">
        <v>75.459999999999994</v>
      </c>
      <c r="CS252" s="112">
        <v>0.78</v>
      </c>
      <c r="CT252" s="112">
        <v>-2.88</v>
      </c>
      <c r="CU252" s="112">
        <v>77.12</v>
      </c>
      <c r="CV252" s="112">
        <v>0.79</v>
      </c>
      <c r="CW252" s="112">
        <v>-2.96</v>
      </c>
    </row>
    <row r="253" spans="2:110">
      <c r="B253" s="7"/>
      <c r="C253" s="7"/>
      <c r="D253" s="7"/>
      <c r="E253" s="7"/>
      <c r="F253" s="7"/>
      <c r="G253" s="7"/>
      <c r="H253" s="7"/>
      <c r="I253" s="7"/>
      <c r="J253" s="7"/>
      <c r="K253" s="7"/>
      <c r="L253" s="7"/>
      <c r="M253" s="7"/>
      <c r="N253" s="7"/>
      <c r="O253" s="7"/>
      <c r="P253" s="7"/>
      <c r="Q253" s="7"/>
      <c r="R253" s="64"/>
      <c r="S253" s="64"/>
      <c r="T253" s="64"/>
      <c r="U253" s="64"/>
      <c r="V253" s="64"/>
      <c r="W253" s="64"/>
      <c r="X253" s="64"/>
      <c r="Y253" s="64"/>
      <c r="Z253" s="64"/>
      <c r="AA253" s="64"/>
      <c r="AB253" s="64"/>
      <c r="AC253" s="64"/>
      <c r="AD253" s="64"/>
      <c r="AE253" s="134"/>
      <c r="AF253" s="134"/>
      <c r="AG253" s="109"/>
      <c r="AH253" s="109"/>
      <c r="AI253" s="109"/>
      <c r="AJ253" s="109"/>
      <c r="AK253" s="108"/>
      <c r="AL253" s="108"/>
      <c r="AM253" s="108"/>
      <c r="AN253" s="108"/>
      <c r="BK253" s="107"/>
      <c r="BL253" s="107"/>
      <c r="BM253" s="107"/>
      <c r="BN253" s="107"/>
      <c r="BO253" s="107"/>
      <c r="BP253" s="121">
        <v>40</v>
      </c>
      <c r="BQ253" s="121">
        <v>70</v>
      </c>
      <c r="BR253" s="121">
        <v>70</v>
      </c>
      <c r="BS253" s="121">
        <v>0</v>
      </c>
      <c r="BT253" s="130">
        <f t="shared" si="380"/>
        <v>0</v>
      </c>
      <c r="BU253" s="130">
        <f t="shared" si="381"/>
        <v>1</v>
      </c>
      <c r="BV253" s="130">
        <f t="shared" ca="1" si="382"/>
        <v>0</v>
      </c>
      <c r="BW253" s="130">
        <f t="shared" ca="1" si="383"/>
        <v>1.5589418998810063</v>
      </c>
      <c r="BX253" s="109" t="str">
        <f t="shared" si="389"/>
        <v>C40M70Y70K0</v>
      </c>
      <c r="BZ253" s="112">
        <v>49.9</v>
      </c>
      <c r="CA253" s="112">
        <v>15.25</v>
      </c>
      <c r="CB253" s="112">
        <v>10.14</v>
      </c>
      <c r="CC253" s="112">
        <v>46.65</v>
      </c>
      <c r="CD253" s="112">
        <v>20</v>
      </c>
      <c r="CE253" s="112">
        <v>11.62</v>
      </c>
      <c r="CF253" s="112">
        <v>50.78</v>
      </c>
      <c r="CG253" s="112">
        <v>19.13</v>
      </c>
      <c r="CH253" s="112">
        <v>10.07</v>
      </c>
      <c r="CI253" s="112">
        <v>45.46</v>
      </c>
      <c r="CJ253" s="112">
        <v>22.96</v>
      </c>
      <c r="CK253" s="112">
        <v>15.94</v>
      </c>
      <c r="CL253" s="112">
        <v>45.98</v>
      </c>
      <c r="CM253" s="112">
        <v>25.45</v>
      </c>
      <c r="CN253" s="112">
        <v>17.649999999999999</v>
      </c>
      <c r="CO253" s="112">
        <v>44.9</v>
      </c>
      <c r="CP253" s="112">
        <v>24.92</v>
      </c>
      <c r="CQ253" s="112">
        <v>19.010000000000002</v>
      </c>
      <c r="CR253" s="112">
        <v>47.13</v>
      </c>
      <c r="CS253" s="112">
        <v>25.61</v>
      </c>
      <c r="CT253" s="112">
        <v>17.29</v>
      </c>
      <c r="CU253" s="112">
        <v>46.57</v>
      </c>
      <c r="CV253" s="112">
        <v>26.91</v>
      </c>
      <c r="CW253" s="112">
        <v>18.21</v>
      </c>
    </row>
    <row r="254" spans="2:110">
      <c r="B254" s="7"/>
      <c r="C254" s="7"/>
      <c r="D254" s="7"/>
      <c r="E254" s="7"/>
      <c r="F254" s="7"/>
      <c r="G254" s="7"/>
      <c r="H254" s="7"/>
      <c r="I254" s="7"/>
      <c r="J254" s="7"/>
      <c r="K254" s="7"/>
      <c r="L254" s="7"/>
      <c r="M254" s="7"/>
      <c r="N254" s="7"/>
      <c r="O254" s="7"/>
      <c r="P254" s="7"/>
      <c r="Q254" s="7"/>
      <c r="R254" s="64"/>
      <c r="S254" s="64"/>
      <c r="T254" s="64"/>
      <c r="U254" s="64"/>
      <c r="V254" s="64"/>
      <c r="W254" s="64"/>
      <c r="X254" s="64"/>
      <c r="Y254" s="64"/>
      <c r="Z254" s="64"/>
      <c r="AA254" s="64"/>
      <c r="AB254" s="64"/>
      <c r="AC254" s="64"/>
      <c r="AD254" s="64"/>
      <c r="AE254" s="134"/>
      <c r="AF254" s="134"/>
      <c r="AG254" s="109"/>
      <c r="AH254" s="109"/>
      <c r="AI254" s="109"/>
      <c r="AJ254" s="109"/>
      <c r="AK254" s="108"/>
      <c r="AL254" s="108"/>
      <c r="AM254" s="108"/>
      <c r="AN254" s="108"/>
      <c r="BK254" s="107"/>
      <c r="BL254" s="107"/>
      <c r="BM254" s="107"/>
      <c r="BN254" s="107"/>
      <c r="BO254" s="107"/>
      <c r="BP254" s="121">
        <v>0</v>
      </c>
      <c r="BQ254" s="121">
        <v>0</v>
      </c>
      <c r="BR254" s="121">
        <v>0</v>
      </c>
      <c r="BS254" s="121">
        <v>50</v>
      </c>
      <c r="BT254" s="130">
        <f t="shared" si="380"/>
        <v>0</v>
      </c>
      <c r="BU254" s="130">
        <f t="shared" si="381"/>
        <v>1</v>
      </c>
      <c r="BV254" s="130">
        <f t="shared" ca="1" si="382"/>
        <v>0</v>
      </c>
      <c r="BW254" s="130">
        <f t="shared" ca="1" si="383"/>
        <v>7.3435812150982822E-5</v>
      </c>
      <c r="BX254" s="109" t="str">
        <f t="shared" si="389"/>
        <v>C0M0Y0K50</v>
      </c>
      <c r="BZ254" s="112">
        <v>55.06</v>
      </c>
      <c r="CA254" s="112">
        <v>0.96</v>
      </c>
      <c r="CB254" s="112">
        <v>4.1399999999999997</v>
      </c>
      <c r="CC254" s="112">
        <v>56.19</v>
      </c>
      <c r="CD254" s="112">
        <v>0.04</v>
      </c>
      <c r="CE254" s="112">
        <v>1.35</v>
      </c>
      <c r="CF254" s="112">
        <v>61.36</v>
      </c>
      <c r="CG254" s="112">
        <v>0.7</v>
      </c>
      <c r="CH254" s="112">
        <v>-0.75</v>
      </c>
      <c r="CI254" s="112">
        <v>55.52</v>
      </c>
      <c r="CJ254" s="112">
        <v>-0.16</v>
      </c>
      <c r="CK254" s="112">
        <v>0.47</v>
      </c>
      <c r="CL254" s="112">
        <v>58.84</v>
      </c>
      <c r="CM254" s="112">
        <v>-0.05</v>
      </c>
      <c r="CN254" s="112">
        <v>-0.66</v>
      </c>
      <c r="CO254" s="112">
        <v>57.49</v>
      </c>
      <c r="CP254" s="112">
        <v>-0.05</v>
      </c>
      <c r="CQ254" s="112">
        <v>2.08</v>
      </c>
      <c r="CR254" s="112">
        <v>60.4</v>
      </c>
      <c r="CS254" s="112">
        <v>0.46</v>
      </c>
      <c r="CT254" s="112">
        <v>-2.59</v>
      </c>
      <c r="CU254" s="112">
        <v>61.48</v>
      </c>
      <c r="CV254" s="112">
        <v>0.45</v>
      </c>
      <c r="CW254" s="112">
        <v>-2.36</v>
      </c>
    </row>
    <row r="255" spans="2:110">
      <c r="B255" s="7"/>
      <c r="C255" s="7"/>
      <c r="D255" s="7"/>
      <c r="E255" s="7"/>
      <c r="F255" s="7"/>
      <c r="G255" s="7"/>
      <c r="H255" s="7"/>
      <c r="I255" s="7"/>
      <c r="J255" s="7"/>
      <c r="K255" s="7"/>
      <c r="L255" s="7"/>
      <c r="M255" s="7"/>
      <c r="N255" s="7"/>
      <c r="O255" s="7"/>
      <c r="P255" s="7"/>
      <c r="Q255" s="7"/>
      <c r="R255" s="64"/>
      <c r="S255" s="64"/>
      <c r="T255" s="64"/>
      <c r="U255" s="64"/>
      <c r="V255" s="64"/>
      <c r="W255" s="64"/>
      <c r="X255" s="64"/>
      <c r="Y255" s="64"/>
      <c r="Z255" s="64"/>
      <c r="AA255" s="64"/>
      <c r="AB255" s="64"/>
      <c r="AC255" s="64"/>
      <c r="AD255" s="64"/>
      <c r="AE255" s="134"/>
      <c r="AF255" s="134"/>
      <c r="AG255" s="109"/>
      <c r="AH255" s="109"/>
      <c r="AI255" s="109"/>
      <c r="AJ255" s="109"/>
      <c r="AK255" s="108"/>
      <c r="AL255" s="108"/>
      <c r="AM255" s="108"/>
      <c r="AN255" s="108"/>
      <c r="BK255" s="107"/>
      <c r="BL255" s="107"/>
      <c r="BM255" s="107"/>
      <c r="BN255" s="107"/>
      <c r="BO255" s="107"/>
      <c r="BP255" s="121">
        <v>50</v>
      </c>
      <c r="BQ255" s="121">
        <v>40</v>
      </c>
      <c r="BR255" s="121">
        <v>40</v>
      </c>
      <c r="BS255" s="121">
        <v>0</v>
      </c>
      <c r="BT255" s="130">
        <f t="shared" si="380"/>
        <v>0</v>
      </c>
      <c r="BU255" s="130">
        <f t="shared" si="381"/>
        <v>1</v>
      </c>
      <c r="BV255" s="130">
        <f t="shared" ca="1" si="382"/>
        <v>0</v>
      </c>
      <c r="BW255" s="130">
        <f t="shared" ca="1" si="383"/>
        <v>7.3245908342465068E-5</v>
      </c>
      <c r="BX255" s="109" t="str">
        <f t="shared" si="389"/>
        <v>C50M40Y40K0</v>
      </c>
      <c r="BZ255" s="112">
        <v>55.18</v>
      </c>
      <c r="CA255" s="112">
        <v>0.47</v>
      </c>
      <c r="CB255" s="112">
        <v>2.5</v>
      </c>
      <c r="CC255" s="112">
        <v>54.06</v>
      </c>
      <c r="CD255" s="112">
        <v>-0.02</v>
      </c>
      <c r="CE255" s="112">
        <v>1.35</v>
      </c>
      <c r="CF255" s="112">
        <v>59.13</v>
      </c>
      <c r="CG255" s="112">
        <v>0.46</v>
      </c>
      <c r="CH255" s="112">
        <v>-2.02</v>
      </c>
      <c r="CI255" s="112">
        <v>54.26</v>
      </c>
      <c r="CJ255" s="112">
        <v>-0.11</v>
      </c>
      <c r="CK255" s="112">
        <v>1.45</v>
      </c>
      <c r="CL255" s="112">
        <v>55.83</v>
      </c>
      <c r="CM255" s="112">
        <v>-0.14000000000000001</v>
      </c>
      <c r="CN255" s="112">
        <v>-0.04</v>
      </c>
      <c r="CO255" s="112">
        <v>54.54</v>
      </c>
      <c r="CP255" s="112">
        <v>-0.14000000000000001</v>
      </c>
      <c r="CQ255" s="112">
        <v>2.5499999999999998</v>
      </c>
      <c r="CR255" s="112">
        <v>57.46</v>
      </c>
      <c r="CS255" s="112">
        <v>0.38</v>
      </c>
      <c r="CT255" s="112">
        <v>-2.0299999999999998</v>
      </c>
      <c r="CU255" s="112">
        <v>58.15</v>
      </c>
      <c r="CV255" s="112">
        <v>0.41</v>
      </c>
      <c r="CW255" s="112">
        <v>-2.08</v>
      </c>
    </row>
    <row r="256" spans="2:110">
      <c r="B256" s="7"/>
      <c r="C256" s="7"/>
      <c r="D256" s="7"/>
      <c r="E256" s="7"/>
      <c r="F256" s="7"/>
      <c r="G256" s="7"/>
      <c r="H256" s="7"/>
      <c r="I256" s="7"/>
      <c r="J256" s="7"/>
      <c r="K256" s="7"/>
      <c r="L256" s="7"/>
      <c r="M256" s="7"/>
      <c r="N256" s="7"/>
      <c r="O256" s="7"/>
      <c r="P256" s="7"/>
      <c r="Q256" s="7"/>
      <c r="R256" s="64"/>
      <c r="S256" s="64"/>
      <c r="T256" s="64"/>
      <c r="U256" s="64"/>
      <c r="V256" s="64"/>
      <c r="W256" s="64"/>
      <c r="X256" s="64"/>
      <c r="Y256" s="64"/>
      <c r="Z256" s="64"/>
      <c r="AA256" s="64"/>
      <c r="AB256" s="64"/>
      <c r="AC256" s="64"/>
      <c r="AD256" s="64"/>
      <c r="AE256" s="134"/>
      <c r="AF256" s="134"/>
      <c r="AG256" s="109"/>
      <c r="AH256" s="109"/>
      <c r="AI256" s="109"/>
      <c r="AJ256" s="109"/>
      <c r="AK256" s="108"/>
      <c r="AL256" s="108"/>
      <c r="AM256" s="108"/>
      <c r="AN256" s="108"/>
      <c r="BK256" s="107"/>
      <c r="BL256" s="107"/>
      <c r="BM256" s="107"/>
      <c r="BN256" s="107"/>
      <c r="BO256" s="107"/>
      <c r="BP256" s="121">
        <v>40</v>
      </c>
      <c r="BQ256" s="121">
        <v>40</v>
      </c>
      <c r="BR256" s="121">
        <v>70</v>
      </c>
      <c r="BS256" s="121">
        <v>0</v>
      </c>
      <c r="BT256" s="130">
        <f t="shared" si="380"/>
        <v>0</v>
      </c>
      <c r="BU256" s="130">
        <f t="shared" si="381"/>
        <v>1</v>
      </c>
      <c r="BV256" s="130">
        <f t="shared" ca="1" si="382"/>
        <v>0</v>
      </c>
      <c r="BW256" s="130">
        <f t="shared" ca="1" si="383"/>
        <v>0.9081915293360161</v>
      </c>
      <c r="BX256" s="109" t="str">
        <f t="shared" si="389"/>
        <v>C40M40Y70K0</v>
      </c>
      <c r="BZ256" s="112">
        <v>56.05</v>
      </c>
      <c r="CA256" s="112">
        <v>2.68</v>
      </c>
      <c r="CB256" s="112">
        <v>16.48</v>
      </c>
      <c r="CC256" s="112">
        <v>55.03</v>
      </c>
      <c r="CD256" s="112">
        <v>2.75</v>
      </c>
      <c r="CE256" s="112">
        <v>20.32</v>
      </c>
      <c r="CF256" s="112">
        <v>59.84</v>
      </c>
      <c r="CG256" s="112">
        <v>2.48</v>
      </c>
      <c r="CH256" s="112">
        <v>18.170000000000002</v>
      </c>
      <c r="CI256" s="112">
        <v>55.46</v>
      </c>
      <c r="CJ256" s="112">
        <v>3.27</v>
      </c>
      <c r="CK256" s="112">
        <v>24.61</v>
      </c>
      <c r="CL256" s="112">
        <v>57.78</v>
      </c>
      <c r="CM256" s="112">
        <v>2.5299999999999998</v>
      </c>
      <c r="CN256" s="112">
        <v>26.81</v>
      </c>
      <c r="CO256" s="112">
        <v>56.45</v>
      </c>
      <c r="CP256" s="112">
        <v>2.48</v>
      </c>
      <c r="CQ256" s="112">
        <v>28.28</v>
      </c>
      <c r="CR256" s="112">
        <v>59.21</v>
      </c>
      <c r="CS256" s="112">
        <v>2.54</v>
      </c>
      <c r="CT256" s="112">
        <v>25.86</v>
      </c>
      <c r="CU256" s="112">
        <v>59.7</v>
      </c>
      <c r="CV256" s="112">
        <v>2.89</v>
      </c>
      <c r="CW256" s="112">
        <v>27.39</v>
      </c>
    </row>
    <row r="257" spans="2:101">
      <c r="B257" s="7"/>
      <c r="C257" s="7"/>
      <c r="D257" s="7"/>
      <c r="E257" s="7"/>
      <c r="F257" s="7"/>
      <c r="G257" s="7"/>
      <c r="H257" s="7"/>
      <c r="I257" s="7"/>
      <c r="J257" s="7"/>
      <c r="K257" s="7"/>
      <c r="L257" s="7"/>
      <c r="M257" s="7"/>
      <c r="N257" s="7"/>
      <c r="O257" s="7"/>
      <c r="P257" s="7"/>
      <c r="Q257" s="7"/>
      <c r="R257" s="64"/>
      <c r="S257" s="64"/>
      <c r="T257" s="64"/>
      <c r="U257" s="64"/>
      <c r="V257" s="64"/>
      <c r="W257" s="64"/>
      <c r="X257" s="64"/>
      <c r="Y257" s="64"/>
      <c r="Z257" s="64"/>
      <c r="AA257" s="64"/>
      <c r="AB257" s="64"/>
      <c r="AC257" s="64"/>
      <c r="AD257" s="64"/>
      <c r="AE257" s="134"/>
      <c r="AF257" s="134"/>
      <c r="AG257" s="109"/>
      <c r="AH257" s="109"/>
      <c r="AI257" s="109"/>
      <c r="AJ257" s="109"/>
      <c r="AK257" s="108"/>
      <c r="AL257" s="108"/>
      <c r="AM257" s="108"/>
      <c r="AN257" s="108"/>
      <c r="BK257" s="107"/>
      <c r="BL257" s="107"/>
      <c r="BM257" s="107"/>
      <c r="BN257" s="107"/>
      <c r="BO257" s="107"/>
      <c r="BP257" s="121">
        <v>0</v>
      </c>
      <c r="BQ257" s="121">
        <v>0</v>
      </c>
      <c r="BR257" s="121">
        <v>0</v>
      </c>
      <c r="BS257" s="121">
        <v>75</v>
      </c>
      <c r="BT257" s="130">
        <f t="shared" si="380"/>
        <v>0</v>
      </c>
      <c r="BU257" s="130">
        <f t="shared" si="381"/>
        <v>1</v>
      </c>
      <c r="BV257" s="130">
        <f t="shared" ca="1" si="382"/>
        <v>0</v>
      </c>
      <c r="BW257" s="130">
        <f t="shared" ca="1" si="383"/>
        <v>1.2052396468495606E-4</v>
      </c>
      <c r="BX257" s="109" t="str">
        <f t="shared" si="389"/>
        <v>C0M0Y0K75</v>
      </c>
      <c r="BZ257" s="112">
        <v>44.16</v>
      </c>
      <c r="CA257" s="112">
        <v>1.02</v>
      </c>
      <c r="CB257" s="112">
        <v>4.07</v>
      </c>
      <c r="CC257" s="112">
        <v>41.75</v>
      </c>
      <c r="CD257" s="112">
        <v>0.44</v>
      </c>
      <c r="CE257" s="112">
        <v>1.41</v>
      </c>
      <c r="CF257" s="112">
        <v>45.36</v>
      </c>
      <c r="CG257" s="112">
        <v>0.78</v>
      </c>
      <c r="CH257" s="112">
        <v>0.33</v>
      </c>
      <c r="CI257" s="112">
        <v>38.729999999999997</v>
      </c>
      <c r="CJ257" s="112">
        <v>0.33</v>
      </c>
      <c r="CK257" s="112">
        <v>0.8</v>
      </c>
      <c r="CL257" s="112">
        <v>40.06</v>
      </c>
      <c r="CM257" s="112">
        <v>-0.1</v>
      </c>
      <c r="CN257" s="112">
        <v>-0.15</v>
      </c>
      <c r="CO257" s="112">
        <v>39.11</v>
      </c>
      <c r="CP257" s="112">
        <v>-0.1</v>
      </c>
      <c r="CQ257" s="112">
        <v>1.8</v>
      </c>
      <c r="CR257" s="112">
        <v>40.369999999999997</v>
      </c>
      <c r="CS257" s="112">
        <v>0.21</v>
      </c>
      <c r="CT257" s="112">
        <v>-1.49</v>
      </c>
      <c r="CU257" s="112">
        <v>40.68</v>
      </c>
      <c r="CV257" s="112">
        <v>0.21</v>
      </c>
      <c r="CW257" s="112">
        <v>-1.35</v>
      </c>
    </row>
    <row r="258" spans="2:101">
      <c r="B258" s="7"/>
      <c r="C258" s="7"/>
      <c r="D258" s="7"/>
      <c r="E258" s="7"/>
      <c r="F258" s="7"/>
      <c r="G258" s="7"/>
      <c r="H258" s="7"/>
      <c r="I258" s="7"/>
      <c r="J258" s="7"/>
      <c r="K258" s="7"/>
      <c r="L258" s="7"/>
      <c r="M258" s="7"/>
      <c r="N258" s="7"/>
      <c r="O258" s="7"/>
      <c r="P258" s="7"/>
      <c r="Q258" s="7"/>
      <c r="R258" s="64"/>
      <c r="S258" s="64"/>
      <c r="T258" s="64"/>
      <c r="U258" s="64"/>
      <c r="V258" s="64"/>
      <c r="W258" s="64"/>
      <c r="X258" s="64"/>
      <c r="Y258" s="64"/>
      <c r="Z258" s="64"/>
      <c r="AA258" s="64"/>
      <c r="AB258" s="64"/>
      <c r="AC258" s="64"/>
      <c r="AD258" s="64"/>
      <c r="AE258" s="134"/>
      <c r="AF258" s="134"/>
      <c r="AG258" s="109"/>
      <c r="AH258" s="109"/>
      <c r="AI258" s="109"/>
      <c r="AJ258" s="109"/>
      <c r="AK258" s="108"/>
      <c r="AL258" s="108"/>
      <c r="AM258" s="108"/>
      <c r="AN258" s="108"/>
      <c r="BK258" s="107"/>
      <c r="BL258" s="107"/>
      <c r="BM258" s="107"/>
      <c r="BN258" s="107"/>
      <c r="BO258" s="107"/>
      <c r="BP258" s="121">
        <v>75</v>
      </c>
      <c r="BQ258" s="121">
        <v>66.122</v>
      </c>
      <c r="BR258" s="121">
        <v>66.122</v>
      </c>
      <c r="BS258" s="121">
        <v>0</v>
      </c>
      <c r="BT258" s="130">
        <f t="shared" si="380"/>
        <v>0</v>
      </c>
      <c r="BU258" s="130">
        <f t="shared" si="381"/>
        <v>1</v>
      </c>
      <c r="BV258" s="130">
        <f t="shared" ca="1" si="382"/>
        <v>0</v>
      </c>
      <c r="BW258" s="130">
        <f t="shared" ca="1" si="383"/>
        <v>1.480935717743572E-5</v>
      </c>
      <c r="BX258" s="109" t="str">
        <f t="shared" si="389"/>
        <v>C75M66Y66K0</v>
      </c>
      <c r="BZ258" s="112">
        <v>45.59</v>
      </c>
      <c r="CA258" s="112">
        <v>0.24</v>
      </c>
      <c r="CB258" s="112">
        <v>1.45</v>
      </c>
      <c r="CC258" s="112">
        <v>41.14</v>
      </c>
      <c r="CD258" s="112">
        <v>0.56999999999999995</v>
      </c>
      <c r="CE258" s="112">
        <v>-0.02</v>
      </c>
      <c r="CF258" s="112">
        <v>44.55</v>
      </c>
      <c r="CG258" s="112">
        <v>-0.02</v>
      </c>
      <c r="CH258" s="112">
        <v>-0.84</v>
      </c>
      <c r="CI258" s="112">
        <v>39.01</v>
      </c>
      <c r="CJ258" s="112">
        <v>-7.0000000000000007E-2</v>
      </c>
      <c r="CK258" s="112">
        <v>0.95</v>
      </c>
      <c r="CL258" s="112">
        <v>39.06</v>
      </c>
      <c r="CM258" s="112">
        <v>0.53</v>
      </c>
      <c r="CN258" s="112">
        <v>0.79</v>
      </c>
      <c r="CO258" s="112">
        <v>38.130000000000003</v>
      </c>
      <c r="CP258" s="112">
        <v>0.52</v>
      </c>
      <c r="CQ258" s="112">
        <v>2.64</v>
      </c>
      <c r="CR258" s="112">
        <v>39.36</v>
      </c>
      <c r="CS258" s="112">
        <v>0.28000000000000003</v>
      </c>
      <c r="CT258" s="112">
        <v>-0.72</v>
      </c>
      <c r="CU258" s="112">
        <v>37.380000000000003</v>
      </c>
      <c r="CV258" s="112">
        <v>0.21</v>
      </c>
      <c r="CW258" s="112">
        <v>-0.9</v>
      </c>
    </row>
    <row r="259" spans="2:101">
      <c r="B259" s="7"/>
      <c r="C259" s="7"/>
      <c r="D259" s="7"/>
      <c r="E259" s="7"/>
      <c r="F259" s="7"/>
      <c r="G259" s="7"/>
      <c r="H259" s="7"/>
      <c r="I259" s="7"/>
      <c r="J259" s="7"/>
      <c r="K259" s="7"/>
      <c r="L259" s="7"/>
      <c r="M259" s="7"/>
      <c r="N259" s="7"/>
      <c r="O259" s="7"/>
      <c r="P259" s="7"/>
      <c r="Q259" s="7"/>
      <c r="R259" s="64"/>
      <c r="S259" s="64"/>
      <c r="T259" s="64"/>
      <c r="U259" s="64"/>
      <c r="V259" s="64"/>
      <c r="W259" s="64"/>
      <c r="X259" s="64"/>
      <c r="Y259" s="64"/>
      <c r="Z259" s="64"/>
      <c r="AA259" s="64"/>
      <c r="AB259" s="64"/>
      <c r="AC259" s="64"/>
      <c r="AD259" s="64"/>
      <c r="AE259" s="134"/>
      <c r="AF259" s="134"/>
      <c r="AG259" s="109"/>
      <c r="AH259" s="109"/>
      <c r="AI259" s="109"/>
      <c r="AJ259" s="109"/>
      <c r="AK259" s="108"/>
      <c r="AL259" s="108"/>
      <c r="AM259" s="108"/>
      <c r="AN259" s="108"/>
      <c r="BK259" s="107"/>
      <c r="BL259" s="107"/>
      <c r="BM259" s="107"/>
      <c r="BN259" s="107"/>
      <c r="BO259" s="107"/>
      <c r="BP259" s="121">
        <v>20</v>
      </c>
      <c r="BQ259" s="121">
        <v>40</v>
      </c>
      <c r="BR259" s="121">
        <v>70</v>
      </c>
      <c r="BS259" s="121">
        <v>0</v>
      </c>
      <c r="BT259" s="130">
        <f t="shared" si="380"/>
        <v>0</v>
      </c>
      <c r="BU259" s="130">
        <f t="shared" si="381"/>
        <v>1</v>
      </c>
      <c r="BV259" s="130">
        <f t="shared" ca="1" si="382"/>
        <v>0</v>
      </c>
      <c r="BW259" s="130">
        <f t="shared" ca="1" si="383"/>
        <v>1.8515577820352647</v>
      </c>
      <c r="BX259" s="109" t="str">
        <f t="shared" si="389"/>
        <v>C20M40Y70K0</v>
      </c>
      <c r="BZ259" s="112">
        <v>60.28</v>
      </c>
      <c r="CA259" s="112">
        <v>12.24</v>
      </c>
      <c r="CB259" s="112">
        <v>23.84</v>
      </c>
      <c r="CC259" s="112">
        <v>60.65</v>
      </c>
      <c r="CD259" s="112">
        <v>13.25</v>
      </c>
      <c r="CE259" s="112">
        <v>29.21</v>
      </c>
      <c r="CF259" s="112">
        <v>65.58</v>
      </c>
      <c r="CG259" s="112">
        <v>12.7</v>
      </c>
      <c r="CH259" s="112">
        <v>26.36</v>
      </c>
      <c r="CI259" s="112">
        <v>60.83</v>
      </c>
      <c r="CJ259" s="112">
        <v>14.58</v>
      </c>
      <c r="CK259" s="112">
        <v>34.03</v>
      </c>
      <c r="CL259" s="112">
        <v>64.069999999999993</v>
      </c>
      <c r="CM259" s="112">
        <v>13.14</v>
      </c>
      <c r="CN259" s="112">
        <v>36.82</v>
      </c>
      <c r="CO259" s="112">
        <v>62.62</v>
      </c>
      <c r="CP259" s="112">
        <v>12.88</v>
      </c>
      <c r="CQ259" s="112">
        <v>38.11</v>
      </c>
      <c r="CR259" s="112">
        <v>65.510000000000005</v>
      </c>
      <c r="CS259" s="112">
        <v>13.41</v>
      </c>
      <c r="CT259" s="112">
        <v>36.22</v>
      </c>
      <c r="CU259" s="112">
        <v>66.2</v>
      </c>
      <c r="CV259" s="112">
        <v>14.84</v>
      </c>
      <c r="CW259" s="112">
        <v>38.17</v>
      </c>
    </row>
    <row r="260" spans="2:101">
      <c r="B260" s="7"/>
      <c r="C260" s="7"/>
      <c r="D260" s="7"/>
      <c r="E260" s="7"/>
      <c r="F260" s="7"/>
      <c r="G260" s="7"/>
      <c r="H260" s="7"/>
      <c r="I260" s="7"/>
      <c r="J260" s="7"/>
      <c r="K260" s="7"/>
      <c r="L260" s="7"/>
      <c r="M260" s="7"/>
      <c r="N260" s="7"/>
      <c r="O260" s="7"/>
      <c r="P260" s="7"/>
      <c r="Q260" s="7"/>
      <c r="R260" s="64"/>
      <c r="S260" s="64"/>
      <c r="T260" s="64"/>
      <c r="U260" s="64"/>
      <c r="V260" s="64"/>
      <c r="W260" s="64"/>
      <c r="X260" s="64"/>
      <c r="Y260" s="64"/>
      <c r="Z260" s="64"/>
      <c r="AA260" s="64"/>
      <c r="AB260" s="64"/>
      <c r="AC260" s="64"/>
      <c r="AD260" s="64"/>
      <c r="AE260" s="134"/>
      <c r="AF260" s="134"/>
      <c r="AG260" s="109"/>
      <c r="AH260" s="109"/>
      <c r="AI260" s="109"/>
      <c r="AJ260" s="109"/>
      <c r="AK260" s="108"/>
      <c r="AL260" s="108"/>
      <c r="AM260" s="108"/>
      <c r="AN260" s="108"/>
      <c r="BK260" s="107"/>
      <c r="BL260" s="107"/>
      <c r="BM260" s="107"/>
      <c r="BN260" s="107"/>
      <c r="BO260" s="107"/>
      <c r="BP260" s="121">
        <v>0</v>
      </c>
      <c r="BQ260" s="121">
        <v>0</v>
      </c>
      <c r="BR260" s="121">
        <v>0</v>
      </c>
      <c r="BS260" s="121">
        <v>90</v>
      </c>
      <c r="BT260" s="130">
        <f t="shared" si="380"/>
        <v>0</v>
      </c>
      <c r="BU260" s="130">
        <f t="shared" si="381"/>
        <v>1</v>
      </c>
      <c r="BV260" s="130">
        <f t="shared" ca="1" si="382"/>
        <v>0</v>
      </c>
      <c r="BW260" s="130">
        <f t="shared" ca="1" si="383"/>
        <v>3.6153476727380623E-4</v>
      </c>
      <c r="BX260" s="109" t="str">
        <f t="shared" si="389"/>
        <v>C0M0Y0K90</v>
      </c>
      <c r="BZ260" s="112">
        <v>39.26</v>
      </c>
      <c r="CA260" s="112">
        <v>1.08</v>
      </c>
      <c r="CB260" s="112">
        <v>4.0999999999999996</v>
      </c>
      <c r="CC260" s="112">
        <v>33.65</v>
      </c>
      <c r="CD260" s="112">
        <v>0.82</v>
      </c>
      <c r="CE260" s="112">
        <v>1.74</v>
      </c>
      <c r="CF260" s="112">
        <v>36.22</v>
      </c>
      <c r="CG260" s="112">
        <v>0.91</v>
      </c>
      <c r="CH260" s="112">
        <v>0.78</v>
      </c>
      <c r="CI260" s="112">
        <v>28.23</v>
      </c>
      <c r="CJ260" s="112">
        <v>0.75</v>
      </c>
      <c r="CK260" s="112">
        <v>1.53</v>
      </c>
      <c r="CL260" s="112">
        <v>27.09</v>
      </c>
      <c r="CM260" s="112">
        <v>-0.04</v>
      </c>
      <c r="CN260" s="112">
        <v>0.45</v>
      </c>
      <c r="CO260" s="112">
        <v>26.45</v>
      </c>
      <c r="CP260" s="112">
        <v>-0.04</v>
      </c>
      <c r="CQ260" s="112">
        <v>1.78</v>
      </c>
      <c r="CR260" s="112">
        <v>25.78</v>
      </c>
      <c r="CS260" s="112">
        <v>0.13</v>
      </c>
      <c r="CT260" s="112">
        <v>-0.63</v>
      </c>
      <c r="CU260" s="112">
        <v>25.01</v>
      </c>
      <c r="CV260" s="112">
        <v>0.04</v>
      </c>
      <c r="CW260" s="112">
        <v>-0.56999999999999995</v>
      </c>
    </row>
    <row r="261" spans="2:101">
      <c r="B261" s="7"/>
      <c r="C261" s="7"/>
      <c r="D261" s="7"/>
      <c r="E261" s="7"/>
      <c r="F261" s="7"/>
      <c r="G261" s="7"/>
      <c r="H261" s="7"/>
      <c r="I261" s="7"/>
      <c r="J261" s="7"/>
      <c r="K261" s="7"/>
      <c r="L261" s="7"/>
      <c r="M261" s="7"/>
      <c r="N261" s="7"/>
      <c r="O261" s="7"/>
      <c r="P261" s="7"/>
      <c r="Q261" s="7"/>
      <c r="R261" s="64"/>
      <c r="S261" s="64"/>
      <c r="T261" s="64"/>
      <c r="U261" s="64"/>
      <c r="V261" s="64"/>
      <c r="W261" s="64"/>
      <c r="X261" s="64"/>
      <c r="Y261" s="64"/>
      <c r="Z261" s="64"/>
      <c r="AA261" s="64"/>
      <c r="AB261" s="64"/>
      <c r="AC261" s="64"/>
      <c r="AD261" s="64"/>
      <c r="AE261" s="134"/>
      <c r="AF261" s="134"/>
      <c r="AG261" s="109"/>
      <c r="AH261" s="109"/>
      <c r="AI261" s="109"/>
      <c r="AJ261" s="109"/>
      <c r="AK261" s="108"/>
      <c r="AL261" s="108"/>
      <c r="AM261" s="108"/>
      <c r="AN261" s="108"/>
      <c r="BK261" s="107"/>
      <c r="BL261" s="107"/>
      <c r="BM261" s="107"/>
      <c r="BN261" s="107"/>
      <c r="BO261" s="107"/>
      <c r="BP261" s="121">
        <v>90</v>
      </c>
      <c r="BQ261" s="121">
        <v>85.341999999999999</v>
      </c>
      <c r="BR261" s="121">
        <v>85.341999999999999</v>
      </c>
      <c r="BS261" s="121">
        <v>0</v>
      </c>
      <c r="BT261" s="130">
        <f t="shared" si="380"/>
        <v>0</v>
      </c>
      <c r="BU261" s="130">
        <f t="shared" si="381"/>
        <v>1</v>
      </c>
      <c r="BV261" s="130">
        <f t="shared" ca="1" si="382"/>
        <v>0</v>
      </c>
      <c r="BW261" s="130">
        <f t="shared" ca="1" si="383"/>
        <v>5.6009255631405331E-5</v>
      </c>
      <c r="BX261" s="109" t="str">
        <f t="shared" ref="BX261:BX280" si="390">"C"&amp;ROUND(BP261,0)&amp;"M"&amp;ROUND(BQ261,0)&amp;"Y"&amp;ROUND(BR261,0)&amp;"K"&amp;ROUND(BS261,0)</f>
        <v>C90M85Y85K0</v>
      </c>
      <c r="BZ261" s="112">
        <v>41.55</v>
      </c>
      <c r="CA261" s="112">
        <v>0.21</v>
      </c>
      <c r="CB261" s="112">
        <v>0.94</v>
      </c>
      <c r="CC261" s="112">
        <v>34.979999999999997</v>
      </c>
      <c r="CD261" s="112">
        <v>0.79</v>
      </c>
      <c r="CE261" s="112">
        <v>-0.4</v>
      </c>
      <c r="CF261" s="112">
        <v>37.409999999999997</v>
      </c>
      <c r="CG261" s="112">
        <v>-0.24</v>
      </c>
      <c r="CH261" s="112">
        <v>7.0000000000000007E-2</v>
      </c>
      <c r="CI261" s="112">
        <v>30.93</v>
      </c>
      <c r="CJ261" s="112">
        <v>0.1</v>
      </c>
      <c r="CK261" s="112">
        <v>0.47</v>
      </c>
      <c r="CL261" s="112">
        <v>29.95</v>
      </c>
      <c r="CM261" s="112">
        <v>0.94</v>
      </c>
      <c r="CN261" s="112">
        <v>0.86</v>
      </c>
      <c r="CO261" s="112">
        <v>29.23</v>
      </c>
      <c r="CP261" s="112">
        <v>0.92</v>
      </c>
      <c r="CQ261" s="112">
        <v>2.29</v>
      </c>
      <c r="CR261" s="112">
        <v>28.87</v>
      </c>
      <c r="CS261" s="112">
        <v>0.32</v>
      </c>
      <c r="CT261" s="112">
        <v>0.14000000000000001</v>
      </c>
      <c r="CU261" s="112">
        <v>23.37</v>
      </c>
      <c r="CV261" s="112">
        <v>0.09</v>
      </c>
      <c r="CW261" s="112">
        <v>-0.17</v>
      </c>
    </row>
    <row r="262" spans="2:101">
      <c r="B262" s="7"/>
      <c r="C262" s="7"/>
      <c r="D262" s="7"/>
      <c r="E262" s="7"/>
      <c r="F262" s="7"/>
      <c r="G262" s="7"/>
      <c r="H262" s="7"/>
      <c r="I262" s="7"/>
      <c r="J262" s="7"/>
      <c r="K262" s="7"/>
      <c r="L262" s="7"/>
      <c r="M262" s="7"/>
      <c r="N262" s="7"/>
      <c r="O262" s="7"/>
      <c r="P262" s="7"/>
      <c r="Q262" s="7"/>
      <c r="R262" s="64"/>
      <c r="S262" s="64"/>
      <c r="T262" s="64"/>
      <c r="U262" s="64"/>
      <c r="V262" s="64"/>
      <c r="W262" s="64"/>
      <c r="X262" s="64"/>
      <c r="Y262" s="64"/>
      <c r="Z262" s="64"/>
      <c r="AA262" s="64"/>
      <c r="AB262" s="64"/>
      <c r="AC262" s="64"/>
      <c r="AD262" s="64"/>
      <c r="AE262" s="134"/>
      <c r="AF262" s="134"/>
      <c r="AG262" s="109"/>
      <c r="AH262" s="109"/>
      <c r="AI262" s="109"/>
      <c r="AJ262" s="109"/>
      <c r="AK262" s="108"/>
      <c r="AL262" s="108"/>
      <c r="AM262" s="108"/>
      <c r="AN262" s="108"/>
      <c r="BK262" s="107"/>
      <c r="BL262" s="107"/>
      <c r="BM262" s="107"/>
      <c r="BN262" s="107"/>
      <c r="BO262" s="107"/>
      <c r="BP262" s="121">
        <v>20</v>
      </c>
      <c r="BQ262" s="121">
        <v>70</v>
      </c>
      <c r="BR262" s="121">
        <v>70</v>
      </c>
      <c r="BS262" s="121">
        <v>0</v>
      </c>
      <c r="BT262" s="130">
        <f t="shared" ref="BT262:BT280" si="391">EN79</f>
        <v>0</v>
      </c>
      <c r="BU262" s="130">
        <f t="shared" ref="BU262:BU280" si="392">CD79</f>
        <v>1</v>
      </c>
      <c r="BV262" s="130">
        <f t="shared" ref="BV262:BV280" ca="1" si="393">CN79</f>
        <v>0</v>
      </c>
      <c r="BW262" s="130">
        <f t="shared" ref="BW262:BW280" ca="1" si="394">BZ79</f>
        <v>1.9434552022710394</v>
      </c>
      <c r="BX262" s="109" t="str">
        <f t="shared" si="390"/>
        <v>C20M70Y70K0</v>
      </c>
      <c r="BZ262" s="112">
        <v>53.48</v>
      </c>
      <c r="CA262" s="112">
        <v>25.24</v>
      </c>
      <c r="CB262" s="112">
        <v>16.55</v>
      </c>
      <c r="CC262" s="112">
        <v>51.58</v>
      </c>
      <c r="CD262" s="112">
        <v>31.31</v>
      </c>
      <c r="CE262" s="112">
        <v>19.809999999999999</v>
      </c>
      <c r="CF262" s="112">
        <v>55.62</v>
      </c>
      <c r="CG262" s="112">
        <v>30.38</v>
      </c>
      <c r="CH262" s="112">
        <v>16.84</v>
      </c>
      <c r="CI262" s="112">
        <v>50.04</v>
      </c>
      <c r="CJ262" s="112">
        <v>34.840000000000003</v>
      </c>
      <c r="CK262" s="112">
        <v>24.78</v>
      </c>
      <c r="CL262" s="112">
        <v>51.62</v>
      </c>
      <c r="CM262" s="112">
        <v>36.5</v>
      </c>
      <c r="CN262" s="112">
        <v>27.17</v>
      </c>
      <c r="CO262" s="112">
        <v>50.42</v>
      </c>
      <c r="CP262" s="112">
        <v>35.75</v>
      </c>
      <c r="CQ262" s="112">
        <v>28.34</v>
      </c>
      <c r="CR262" s="112">
        <v>52.64</v>
      </c>
      <c r="CS262" s="112">
        <v>37</v>
      </c>
      <c r="CT262" s="112">
        <v>27.19</v>
      </c>
      <c r="CU262" s="112">
        <v>52.58</v>
      </c>
      <c r="CV262" s="112">
        <v>39.36</v>
      </c>
      <c r="CW262" s="112">
        <v>28.41</v>
      </c>
    </row>
    <row r="263" spans="2:101">
      <c r="B263" s="7"/>
      <c r="C263" s="7"/>
      <c r="D263" s="7"/>
      <c r="E263" s="7"/>
      <c r="F263" s="7"/>
      <c r="G263" s="7"/>
      <c r="H263" s="7"/>
      <c r="I263" s="7"/>
      <c r="J263" s="7"/>
      <c r="K263" s="7"/>
      <c r="L263" s="7"/>
      <c r="M263" s="7"/>
      <c r="N263" s="7"/>
      <c r="O263" s="7"/>
      <c r="P263" s="7"/>
      <c r="Q263" s="7"/>
      <c r="R263" s="64"/>
      <c r="S263" s="64"/>
      <c r="T263" s="64"/>
      <c r="U263" s="64"/>
      <c r="V263" s="64"/>
      <c r="W263" s="64"/>
      <c r="X263" s="64"/>
      <c r="Y263" s="64"/>
      <c r="Z263" s="64"/>
      <c r="AA263" s="64"/>
      <c r="AB263" s="64"/>
      <c r="AC263" s="64"/>
      <c r="AD263" s="64"/>
      <c r="AE263" s="134"/>
      <c r="AF263" s="134"/>
      <c r="AG263" s="109"/>
      <c r="AH263" s="109"/>
      <c r="AI263" s="109"/>
      <c r="AJ263" s="109"/>
      <c r="AK263" s="108"/>
      <c r="AL263" s="108"/>
      <c r="AM263" s="108"/>
      <c r="AN263" s="108"/>
      <c r="BK263" s="107"/>
      <c r="BL263" s="107"/>
      <c r="BM263" s="107"/>
      <c r="BN263" s="107"/>
      <c r="BO263" s="107"/>
      <c r="BP263" s="121">
        <v>0</v>
      </c>
      <c r="BQ263" s="121">
        <v>0</v>
      </c>
      <c r="BR263" s="121">
        <v>0</v>
      </c>
      <c r="BS263" s="121">
        <v>100</v>
      </c>
      <c r="BT263" s="130">
        <f t="shared" si="391"/>
        <v>0</v>
      </c>
      <c r="BU263" s="130">
        <f t="shared" si="392"/>
        <v>1</v>
      </c>
      <c r="BV263" s="130">
        <f t="shared" ca="1" si="393"/>
        <v>0</v>
      </c>
      <c r="BW263" s="130">
        <f t="shared" ca="1" si="394"/>
        <v>6.3239865926375388E-4</v>
      </c>
      <c r="BX263" s="109" t="str">
        <f t="shared" si="390"/>
        <v>C0M0Y0K100</v>
      </c>
      <c r="BZ263" s="112">
        <v>37</v>
      </c>
      <c r="CA263" s="112">
        <v>1</v>
      </c>
      <c r="CB263" s="112">
        <v>4</v>
      </c>
      <c r="CC263" s="112">
        <v>30</v>
      </c>
      <c r="CD263" s="112">
        <v>1</v>
      </c>
      <c r="CE263" s="112">
        <v>2</v>
      </c>
      <c r="CF263" s="112">
        <v>32</v>
      </c>
      <c r="CG263" s="112">
        <v>1</v>
      </c>
      <c r="CH263" s="112">
        <v>1</v>
      </c>
      <c r="CI263" s="112">
        <v>23</v>
      </c>
      <c r="CJ263" s="112">
        <v>1</v>
      </c>
      <c r="CK263" s="112">
        <v>2</v>
      </c>
      <c r="CL263" s="112">
        <v>19</v>
      </c>
      <c r="CM263" s="112">
        <v>0</v>
      </c>
      <c r="CN263" s="112">
        <v>1</v>
      </c>
      <c r="CO263" s="112">
        <v>18.59</v>
      </c>
      <c r="CP263" s="112">
        <v>0</v>
      </c>
      <c r="CQ263" s="112">
        <v>1.85</v>
      </c>
      <c r="CR263" s="112">
        <v>16</v>
      </c>
      <c r="CS263" s="109">
        <v>1.0000000000000001E-5</v>
      </c>
      <c r="CT263" s="109">
        <v>1.0000000000000001E-5</v>
      </c>
      <c r="CU263" s="112">
        <v>14</v>
      </c>
      <c r="CV263" s="109">
        <v>1.0000000000000001E-5</v>
      </c>
      <c r="CW263" s="109">
        <v>1.0000000000000001E-5</v>
      </c>
    </row>
    <row r="264" spans="2:101">
      <c r="B264" s="7"/>
      <c r="C264" s="7"/>
      <c r="D264" s="7"/>
      <c r="E264" s="7"/>
      <c r="F264" s="7"/>
      <c r="G264" s="7"/>
      <c r="H264" s="7"/>
      <c r="I264" s="7"/>
      <c r="J264" s="7"/>
      <c r="K264" s="7"/>
      <c r="L264" s="7"/>
      <c r="M264" s="7"/>
      <c r="N264" s="7"/>
      <c r="O264" s="7"/>
      <c r="P264" s="7"/>
      <c r="Q264" s="7"/>
      <c r="R264" s="64"/>
      <c r="S264" s="64"/>
      <c r="T264" s="64"/>
      <c r="U264" s="64"/>
      <c r="V264" s="64"/>
      <c r="W264" s="64"/>
      <c r="X264" s="64"/>
      <c r="Y264" s="64"/>
      <c r="Z264" s="64"/>
      <c r="AA264" s="64"/>
      <c r="AB264" s="64"/>
      <c r="AC264" s="64"/>
      <c r="AD264" s="64"/>
      <c r="AE264" s="134"/>
      <c r="AF264" s="134"/>
      <c r="AG264" s="109"/>
      <c r="AH264" s="109"/>
      <c r="AI264" s="109"/>
      <c r="AJ264" s="109"/>
      <c r="AK264" s="108"/>
      <c r="AL264" s="108"/>
      <c r="AM264" s="108"/>
      <c r="AN264" s="108"/>
      <c r="BK264" s="107"/>
      <c r="BL264" s="107"/>
      <c r="BM264" s="107"/>
      <c r="BN264" s="107"/>
      <c r="BO264" s="107"/>
      <c r="BP264" s="121">
        <v>100</v>
      </c>
      <c r="BQ264" s="121">
        <v>100</v>
      </c>
      <c r="BR264" s="121">
        <v>100</v>
      </c>
      <c r="BS264" s="121">
        <v>0</v>
      </c>
      <c r="BT264" s="130">
        <f t="shared" si="391"/>
        <v>0</v>
      </c>
      <c r="BU264" s="130">
        <f t="shared" si="392"/>
        <v>1</v>
      </c>
      <c r="BV264" s="130">
        <f t="shared" ca="1" si="393"/>
        <v>0</v>
      </c>
      <c r="BW264" s="130">
        <f t="shared" ca="1" si="394"/>
        <v>6.3684808470494171E-22</v>
      </c>
      <c r="BX264" s="109" t="str">
        <f t="shared" si="390"/>
        <v>C100M100Y100K0</v>
      </c>
      <c r="BZ264" s="112">
        <v>40</v>
      </c>
      <c r="CA264" s="112">
        <v>1.0000000000000001E-5</v>
      </c>
      <c r="CB264" s="112">
        <v>1.0000000000000001E-5</v>
      </c>
      <c r="CC264" s="112">
        <v>32</v>
      </c>
      <c r="CD264" s="109">
        <v>1.0000000000000001E-5</v>
      </c>
      <c r="CE264" s="109">
        <v>1.0000000000000001E-5</v>
      </c>
      <c r="CF264" s="112">
        <v>34</v>
      </c>
      <c r="CG264" s="109">
        <v>1.0000000000000001E-5</v>
      </c>
      <c r="CH264" s="109">
        <v>1.0000000000000001E-5</v>
      </c>
      <c r="CI264" s="112">
        <v>27</v>
      </c>
      <c r="CJ264" s="109">
        <v>1.0000000000000001E-5</v>
      </c>
      <c r="CK264" s="109">
        <v>1.0000000000000001E-5</v>
      </c>
      <c r="CL264" s="112">
        <v>25</v>
      </c>
      <c r="CM264" s="109">
        <v>1.0000000000000001E-5</v>
      </c>
      <c r="CN264" s="109">
        <v>1.0000000000000001E-5</v>
      </c>
      <c r="CO264" s="112">
        <v>24.41</v>
      </c>
      <c r="CP264" s="112">
        <v>0</v>
      </c>
      <c r="CQ264" s="112">
        <v>1.24</v>
      </c>
      <c r="CR264" s="112">
        <v>23</v>
      </c>
      <c r="CS264" s="109">
        <v>1.0000000000000001E-5</v>
      </c>
      <c r="CT264" s="109">
        <v>1.0000000000000001E-5</v>
      </c>
      <c r="CU264" s="112">
        <v>14</v>
      </c>
      <c r="CV264" s="109">
        <v>1.0000000000000001E-5</v>
      </c>
      <c r="CW264" s="109">
        <v>1.0000000000000001E-5</v>
      </c>
    </row>
    <row r="265" spans="2:101">
      <c r="B265" s="7"/>
      <c r="C265" s="7"/>
      <c r="D265" s="7"/>
      <c r="E265" s="7"/>
      <c r="F265" s="7"/>
      <c r="G265" s="7"/>
      <c r="H265" s="7"/>
      <c r="I265" s="7"/>
      <c r="J265" s="7"/>
      <c r="K265" s="7"/>
      <c r="L265" s="7"/>
      <c r="M265" s="7"/>
      <c r="N265" s="7"/>
      <c r="O265" s="7"/>
      <c r="P265" s="7"/>
      <c r="Q265" s="7"/>
      <c r="R265" s="64"/>
      <c r="S265" s="64"/>
      <c r="T265" s="64"/>
      <c r="U265" s="64"/>
      <c r="V265" s="64"/>
      <c r="W265" s="64"/>
      <c r="X265" s="64"/>
      <c r="Y265" s="64"/>
      <c r="Z265" s="64"/>
      <c r="AA265" s="64"/>
      <c r="AB265" s="64"/>
      <c r="AC265" s="64"/>
      <c r="AD265" s="64"/>
      <c r="AE265" s="134"/>
      <c r="AF265" s="134"/>
      <c r="AG265" s="109"/>
      <c r="AH265" s="109"/>
      <c r="AI265" s="109"/>
      <c r="AJ265" s="109"/>
      <c r="AK265" s="108"/>
      <c r="AL265" s="108"/>
      <c r="AM265" s="108"/>
      <c r="AN265" s="108"/>
      <c r="BK265" s="107"/>
      <c r="BL265" s="107"/>
      <c r="BM265" s="107"/>
      <c r="BN265" s="107"/>
      <c r="BO265" s="107"/>
      <c r="BP265" s="121">
        <v>70</v>
      </c>
      <c r="BQ265" s="121">
        <v>40</v>
      </c>
      <c r="BR265" s="121">
        <v>70</v>
      </c>
      <c r="BS265" s="121">
        <v>0</v>
      </c>
      <c r="BT265" s="130">
        <f t="shared" si="391"/>
        <v>0</v>
      </c>
      <c r="BU265" s="130">
        <f t="shared" si="392"/>
        <v>1</v>
      </c>
      <c r="BV265" s="130">
        <f t="shared" ca="1" si="393"/>
        <v>0</v>
      </c>
      <c r="BW265" s="130">
        <f t="shared" ca="1" si="394"/>
        <v>0.65874445865364217</v>
      </c>
      <c r="BX265" s="109" t="str">
        <f t="shared" si="390"/>
        <v>C70M40Y70K0</v>
      </c>
      <c r="BZ265" s="112">
        <v>50.65</v>
      </c>
      <c r="CA265" s="112">
        <v>-8.6300000000000008</v>
      </c>
      <c r="CB265" s="112">
        <v>7.93</v>
      </c>
      <c r="CC265" s="112">
        <v>48.2</v>
      </c>
      <c r="CD265" s="112">
        <v>-11.37</v>
      </c>
      <c r="CE265" s="112">
        <v>8.8800000000000008</v>
      </c>
      <c r="CF265" s="112">
        <v>52.09</v>
      </c>
      <c r="CG265" s="112">
        <v>-11.2</v>
      </c>
      <c r="CH265" s="112">
        <v>7.23</v>
      </c>
      <c r="CI265" s="112">
        <v>47.56</v>
      </c>
      <c r="CJ265" s="112">
        <v>-13.66</v>
      </c>
      <c r="CK265" s="112">
        <v>11.54</v>
      </c>
      <c r="CL265" s="112">
        <v>49.4</v>
      </c>
      <c r="CM265" s="112">
        <v>-15.23</v>
      </c>
      <c r="CN265" s="112">
        <v>12.36</v>
      </c>
      <c r="CO265" s="112">
        <v>48.24</v>
      </c>
      <c r="CP265" s="112">
        <v>-14.91</v>
      </c>
      <c r="CQ265" s="112">
        <v>14.13</v>
      </c>
      <c r="CR265" s="112">
        <v>49.94</v>
      </c>
      <c r="CS265" s="112">
        <v>-15.74</v>
      </c>
      <c r="CT265" s="112">
        <v>10.83</v>
      </c>
      <c r="CU265" s="112">
        <v>49.63</v>
      </c>
      <c r="CV265" s="112">
        <v>-16.899999999999999</v>
      </c>
      <c r="CW265" s="112">
        <v>11.52</v>
      </c>
    </row>
    <row r="266" spans="2:101">
      <c r="B266" s="7"/>
      <c r="C266" s="7"/>
      <c r="D266" s="7"/>
      <c r="E266" s="7"/>
      <c r="F266" s="7"/>
      <c r="G266" s="7"/>
      <c r="H266" s="7"/>
      <c r="I266" s="7"/>
      <c r="J266" s="7"/>
      <c r="K266" s="7"/>
      <c r="L266" s="7"/>
      <c r="M266" s="7"/>
      <c r="N266" s="7"/>
      <c r="O266" s="7"/>
      <c r="P266" s="7"/>
      <c r="Q266" s="7"/>
      <c r="R266" s="64"/>
      <c r="S266" s="64"/>
      <c r="T266" s="64"/>
      <c r="U266" s="64"/>
      <c r="V266" s="64"/>
      <c r="W266" s="64"/>
      <c r="X266" s="64"/>
      <c r="Y266" s="64"/>
      <c r="Z266" s="64"/>
      <c r="AA266" s="64"/>
      <c r="AB266" s="64"/>
      <c r="AC266" s="64"/>
      <c r="AD266" s="64"/>
      <c r="AE266" s="134"/>
      <c r="AF266" s="134"/>
      <c r="AG266" s="109"/>
      <c r="AH266" s="109"/>
      <c r="AI266" s="109"/>
      <c r="AJ266" s="109"/>
      <c r="AK266" s="108"/>
      <c r="AL266" s="108"/>
      <c r="AM266" s="108"/>
      <c r="AN266" s="108"/>
      <c r="BK266" s="107"/>
      <c r="BL266" s="107"/>
      <c r="BM266" s="107"/>
      <c r="BN266" s="107"/>
      <c r="BO266" s="107"/>
      <c r="BP266" s="121">
        <v>40</v>
      </c>
      <c r="BQ266" s="121">
        <v>10</v>
      </c>
      <c r="BR266" s="121">
        <v>10</v>
      </c>
      <c r="BS266" s="121">
        <v>0</v>
      </c>
      <c r="BT266" s="130">
        <f t="shared" si="391"/>
        <v>0</v>
      </c>
      <c r="BU266" s="130">
        <f t="shared" si="392"/>
        <v>1</v>
      </c>
      <c r="BV266" s="130">
        <f t="shared" ca="1" si="393"/>
        <v>0</v>
      </c>
      <c r="BW266" s="130">
        <f t="shared" ca="1" si="394"/>
        <v>0.45354291558576909</v>
      </c>
      <c r="BX266" s="109" t="str">
        <f t="shared" si="390"/>
        <v>C40M10Y10K0</v>
      </c>
      <c r="BZ266" s="112">
        <v>66.87</v>
      </c>
      <c r="CA266" s="112">
        <v>-8.77</v>
      </c>
      <c r="CB266" s="112">
        <v>-6.16</v>
      </c>
      <c r="CC266" s="112">
        <v>68.37</v>
      </c>
      <c r="CD266" s="112">
        <v>-9.6</v>
      </c>
      <c r="CE266" s="112">
        <v>-8.85</v>
      </c>
      <c r="CF266" s="112">
        <v>74.72</v>
      </c>
      <c r="CG266" s="112">
        <v>-8.65</v>
      </c>
      <c r="CH266" s="112">
        <v>-14.52</v>
      </c>
      <c r="CI266" s="112">
        <v>69.66</v>
      </c>
      <c r="CJ266" s="112">
        <v>-10.98</v>
      </c>
      <c r="CK266" s="112">
        <v>-9.44</v>
      </c>
      <c r="CL266" s="112">
        <v>72.16</v>
      </c>
      <c r="CM266" s="112">
        <v>-9.99</v>
      </c>
      <c r="CN266" s="112">
        <v>-12.19</v>
      </c>
      <c r="CO266" s="112">
        <v>70.55</v>
      </c>
      <c r="CP266" s="112">
        <v>-9.7899999999999991</v>
      </c>
      <c r="CQ266" s="112">
        <v>-8.44</v>
      </c>
      <c r="CR266" s="112">
        <v>74.44</v>
      </c>
      <c r="CS266" s="112">
        <v>-9.18</v>
      </c>
      <c r="CT266" s="112">
        <v>-15.62</v>
      </c>
      <c r="CU266" s="112">
        <v>76.27</v>
      </c>
      <c r="CV266" s="112">
        <v>-10.01</v>
      </c>
      <c r="CW266" s="112">
        <v>-16.16</v>
      </c>
    </row>
    <row r="267" spans="2:101">
      <c r="B267" s="7"/>
      <c r="C267" s="7"/>
      <c r="D267" s="7"/>
      <c r="E267" s="7"/>
      <c r="F267" s="7"/>
      <c r="G267" s="7"/>
      <c r="H267" s="7"/>
      <c r="I267" s="7"/>
      <c r="J267" s="7"/>
      <c r="K267" s="7"/>
      <c r="L267" s="7"/>
      <c r="M267" s="7"/>
      <c r="N267" s="7"/>
      <c r="O267" s="7"/>
      <c r="P267" s="7"/>
      <c r="Q267" s="7"/>
      <c r="R267" s="64"/>
      <c r="S267" s="64"/>
      <c r="T267" s="64"/>
      <c r="U267" s="64"/>
      <c r="V267" s="64"/>
      <c r="W267" s="64"/>
      <c r="X267" s="64"/>
      <c r="Y267" s="64"/>
      <c r="Z267" s="64"/>
      <c r="AA267" s="64"/>
      <c r="AB267" s="64"/>
      <c r="AC267" s="64"/>
      <c r="AD267" s="64"/>
      <c r="AE267" s="134"/>
      <c r="AF267" s="134"/>
      <c r="AG267" s="109"/>
      <c r="AH267" s="109"/>
      <c r="AI267" s="109"/>
      <c r="AJ267" s="109"/>
      <c r="AK267" s="108"/>
      <c r="AL267" s="108"/>
      <c r="AM267" s="108"/>
      <c r="AN267" s="108"/>
      <c r="BK267" s="107"/>
      <c r="BL267" s="107"/>
      <c r="BM267" s="107"/>
      <c r="BN267" s="107"/>
      <c r="BO267" s="107"/>
      <c r="BP267" s="121">
        <v>10</v>
      </c>
      <c r="BQ267" s="121">
        <v>40</v>
      </c>
      <c r="BR267" s="121">
        <v>10</v>
      </c>
      <c r="BS267" s="121">
        <v>0</v>
      </c>
      <c r="BT267" s="130">
        <f t="shared" si="391"/>
        <v>0</v>
      </c>
      <c r="BU267" s="130">
        <f t="shared" si="392"/>
        <v>1</v>
      </c>
      <c r="BV267" s="130">
        <f t="shared" ca="1" si="393"/>
        <v>0</v>
      </c>
      <c r="BW267" s="130">
        <f t="shared" ca="1" si="394"/>
        <v>1.5694029390279949</v>
      </c>
      <c r="BX267" s="109" t="str">
        <f t="shared" si="390"/>
        <v>C10M40Y10K0</v>
      </c>
      <c r="BZ267" s="112">
        <v>64.91</v>
      </c>
      <c r="CA267" s="112">
        <v>21.05</v>
      </c>
      <c r="CB267" s="112">
        <v>1.74</v>
      </c>
      <c r="CC267" s="112">
        <v>65.930000000000007</v>
      </c>
      <c r="CD267" s="112">
        <v>21.42</v>
      </c>
      <c r="CE267" s="112">
        <v>-0.52</v>
      </c>
      <c r="CF267" s="112">
        <v>72.11</v>
      </c>
      <c r="CG267" s="112">
        <v>22.77</v>
      </c>
      <c r="CH267" s="112">
        <v>-4.08</v>
      </c>
      <c r="CI267" s="112">
        <v>65.94</v>
      </c>
      <c r="CJ267" s="112">
        <v>23.06</v>
      </c>
      <c r="CK267" s="112">
        <v>-0.95</v>
      </c>
      <c r="CL267" s="112">
        <v>69.209999999999994</v>
      </c>
      <c r="CM267" s="112">
        <v>21.89</v>
      </c>
      <c r="CN267" s="112">
        <v>-1.61</v>
      </c>
      <c r="CO267" s="112">
        <v>67.650000000000006</v>
      </c>
      <c r="CP267" s="112">
        <v>21.46</v>
      </c>
      <c r="CQ267" s="112">
        <v>1.58</v>
      </c>
      <c r="CR267" s="112">
        <v>71.209999999999994</v>
      </c>
      <c r="CS267" s="112">
        <v>23.19</v>
      </c>
      <c r="CT267" s="112">
        <v>-4.59</v>
      </c>
      <c r="CU267" s="112">
        <v>72.31</v>
      </c>
      <c r="CV267" s="112">
        <v>25.36</v>
      </c>
      <c r="CW267" s="112">
        <v>-6.48</v>
      </c>
    </row>
    <row r="268" spans="2:101">
      <c r="B268" s="7"/>
      <c r="C268" s="7"/>
      <c r="D268" s="7"/>
      <c r="E268" s="7"/>
      <c r="F268" s="7"/>
      <c r="G268" s="7"/>
      <c r="H268" s="7"/>
      <c r="I268" s="7"/>
      <c r="J268" s="7"/>
      <c r="K268" s="7"/>
      <c r="L268" s="7"/>
      <c r="M268" s="7"/>
      <c r="N268" s="7"/>
      <c r="O268" s="7"/>
      <c r="P268" s="7"/>
      <c r="Q268" s="7"/>
      <c r="R268" s="64"/>
      <c r="S268" s="64"/>
      <c r="T268" s="64"/>
      <c r="U268" s="64"/>
      <c r="V268" s="64"/>
      <c r="W268" s="64"/>
      <c r="X268" s="64"/>
      <c r="Y268" s="64"/>
      <c r="Z268" s="64"/>
      <c r="AA268" s="64"/>
      <c r="AB268" s="64"/>
      <c r="AC268" s="64"/>
      <c r="AD268" s="64"/>
      <c r="AE268" s="134"/>
      <c r="AF268" s="134"/>
      <c r="AG268" s="109"/>
      <c r="AH268" s="109"/>
      <c r="AI268" s="109"/>
      <c r="AJ268" s="109"/>
      <c r="AK268" s="108"/>
      <c r="AL268" s="108"/>
      <c r="AM268" s="108"/>
      <c r="AN268" s="108"/>
      <c r="BK268" s="107"/>
      <c r="BL268" s="107"/>
      <c r="BM268" s="107"/>
      <c r="BN268" s="107"/>
      <c r="BO268" s="107"/>
      <c r="BP268" s="121">
        <v>10</v>
      </c>
      <c r="BQ268" s="121">
        <v>10</v>
      </c>
      <c r="BR268" s="121">
        <v>40</v>
      </c>
      <c r="BS268" s="121">
        <v>0</v>
      </c>
      <c r="BT268" s="130">
        <f t="shared" si="391"/>
        <v>0</v>
      </c>
      <c r="BU268" s="130">
        <f t="shared" si="392"/>
        <v>1</v>
      </c>
      <c r="BV268" s="130">
        <f t="shared" ca="1" si="393"/>
        <v>0</v>
      </c>
      <c r="BW268" s="130">
        <f t="shared" ca="1" si="394"/>
        <v>1.532848037864698</v>
      </c>
      <c r="BX268" s="109" t="str">
        <f t="shared" si="390"/>
        <v>C10M10Y40K0</v>
      </c>
      <c r="BZ268" s="112">
        <v>74.37</v>
      </c>
      <c r="CA268" s="112">
        <v>0.46</v>
      </c>
      <c r="CB268" s="112">
        <v>25.82</v>
      </c>
      <c r="CC268" s="112">
        <v>76.33</v>
      </c>
      <c r="CD268" s="112">
        <v>-0.41</v>
      </c>
      <c r="CE268" s="112">
        <v>26.29</v>
      </c>
      <c r="CF268" s="112">
        <v>83.43</v>
      </c>
      <c r="CG268" s="112">
        <v>-0.88</v>
      </c>
      <c r="CH268" s="112">
        <v>22.31</v>
      </c>
      <c r="CI268" s="112">
        <v>77.91</v>
      </c>
      <c r="CJ268" s="112">
        <v>-0.3</v>
      </c>
      <c r="CK268" s="112">
        <v>27.71</v>
      </c>
      <c r="CL268" s="112">
        <v>81.39</v>
      </c>
      <c r="CM268" s="112">
        <v>-0.71</v>
      </c>
      <c r="CN268" s="112">
        <v>25.43</v>
      </c>
      <c r="CO268" s="112">
        <v>79.599999999999994</v>
      </c>
      <c r="CP268" s="112">
        <v>-0.7</v>
      </c>
      <c r="CQ268" s="112">
        <v>27.95</v>
      </c>
      <c r="CR268" s="112">
        <v>83.72</v>
      </c>
      <c r="CS268" s="112">
        <v>-0.34</v>
      </c>
      <c r="CT268" s="112">
        <v>23.75</v>
      </c>
      <c r="CU268" s="112">
        <v>85.78</v>
      </c>
      <c r="CV268" s="112">
        <v>-0.21</v>
      </c>
      <c r="CW268" s="112">
        <v>25.32</v>
      </c>
    </row>
    <row r="269" spans="2:101">
      <c r="B269" s="7"/>
      <c r="C269" s="7"/>
      <c r="D269" s="7"/>
      <c r="E269" s="7"/>
      <c r="F269" s="7"/>
      <c r="G269" s="7"/>
      <c r="H269" s="7"/>
      <c r="I269" s="7"/>
      <c r="J269" s="7"/>
      <c r="K269" s="7"/>
      <c r="L269" s="7"/>
      <c r="M269" s="7"/>
      <c r="N269" s="7"/>
      <c r="O269" s="7"/>
      <c r="P269" s="7"/>
      <c r="Q269" s="7"/>
      <c r="R269" s="64"/>
      <c r="S269" s="64"/>
      <c r="T269" s="64"/>
      <c r="U269" s="64"/>
      <c r="V269" s="64"/>
      <c r="W269" s="64"/>
      <c r="X269" s="64"/>
      <c r="Y269" s="64"/>
      <c r="Z269" s="64"/>
      <c r="AA269" s="64"/>
      <c r="AB269" s="64"/>
      <c r="AC269" s="64"/>
      <c r="AD269" s="64"/>
      <c r="AE269" s="134"/>
      <c r="AF269" s="134"/>
      <c r="AG269" s="109"/>
      <c r="AH269" s="109"/>
      <c r="AI269" s="109"/>
      <c r="AJ269" s="109"/>
      <c r="AK269" s="108"/>
      <c r="AL269" s="108"/>
      <c r="AM269" s="108"/>
      <c r="AN269" s="108"/>
      <c r="BK269" s="107"/>
      <c r="BL269" s="107"/>
      <c r="BM269" s="107"/>
      <c r="BN269" s="107"/>
      <c r="BO269" s="107"/>
      <c r="BP269" s="121">
        <v>40</v>
      </c>
      <c r="BQ269" s="121">
        <v>40</v>
      </c>
      <c r="BR269" s="121">
        <v>10</v>
      </c>
      <c r="BS269" s="121">
        <v>0</v>
      </c>
      <c r="BT269" s="130">
        <f t="shared" si="391"/>
        <v>0</v>
      </c>
      <c r="BU269" s="130">
        <f t="shared" si="392"/>
        <v>1</v>
      </c>
      <c r="BV269" s="130">
        <f t="shared" ca="1" si="393"/>
        <v>0</v>
      </c>
      <c r="BW269" s="130">
        <f t="shared" ca="1" si="394"/>
        <v>0.4814567522117072</v>
      </c>
      <c r="BX269" s="109" t="str">
        <f t="shared" si="390"/>
        <v>C40M40Y10K0</v>
      </c>
      <c r="BZ269" s="112">
        <v>57.88</v>
      </c>
      <c r="CA269" s="112">
        <v>7.43</v>
      </c>
      <c r="CB269" s="112">
        <v>-8.32</v>
      </c>
      <c r="CC269" s="112">
        <v>58.16</v>
      </c>
      <c r="CD269" s="112">
        <v>8.11</v>
      </c>
      <c r="CE269" s="112">
        <v>-12.18</v>
      </c>
      <c r="CF269" s="112">
        <v>63.61</v>
      </c>
      <c r="CG269" s="112">
        <v>8.8800000000000008</v>
      </c>
      <c r="CH269" s="112">
        <v>-15.24</v>
      </c>
      <c r="CI269" s="112">
        <v>57.89</v>
      </c>
      <c r="CJ269" s="112">
        <v>8.67</v>
      </c>
      <c r="CK269" s="112">
        <v>-13.3</v>
      </c>
      <c r="CL269" s="112">
        <v>60.16</v>
      </c>
      <c r="CM269" s="112">
        <v>8.67</v>
      </c>
      <c r="CN269" s="112">
        <v>-14.85</v>
      </c>
      <c r="CO269" s="112">
        <v>58.78</v>
      </c>
      <c r="CP269" s="112">
        <v>8.5</v>
      </c>
      <c r="CQ269" s="112">
        <v>-11.45</v>
      </c>
      <c r="CR269" s="112">
        <v>61.88</v>
      </c>
      <c r="CS269" s="112">
        <v>9.83</v>
      </c>
      <c r="CT269" s="112">
        <v>-17.57</v>
      </c>
      <c r="CU269" s="112">
        <v>62.56</v>
      </c>
      <c r="CV269" s="112">
        <v>11.63</v>
      </c>
      <c r="CW269" s="112">
        <v>-19.190000000000001</v>
      </c>
    </row>
    <row r="270" spans="2:101">
      <c r="B270" s="7"/>
      <c r="C270" s="7"/>
      <c r="D270" s="7"/>
      <c r="E270" s="7"/>
      <c r="F270" s="7"/>
      <c r="G270" s="7"/>
      <c r="H270" s="7"/>
      <c r="I270" s="7"/>
      <c r="J270" s="7"/>
      <c r="K270" s="7"/>
      <c r="L270" s="7"/>
      <c r="M270" s="7"/>
      <c r="N270" s="7"/>
      <c r="O270" s="7"/>
      <c r="P270" s="7"/>
      <c r="Q270" s="7"/>
      <c r="R270" s="64"/>
      <c r="S270" s="64"/>
      <c r="T270" s="64"/>
      <c r="U270" s="64"/>
      <c r="V270" s="64"/>
      <c r="W270" s="64"/>
      <c r="X270" s="64"/>
      <c r="Y270" s="64"/>
      <c r="Z270" s="64"/>
      <c r="AA270" s="64"/>
      <c r="AB270" s="64"/>
      <c r="AC270" s="64"/>
      <c r="AD270" s="64"/>
      <c r="AE270" s="134"/>
      <c r="AF270" s="134"/>
      <c r="AG270" s="109"/>
      <c r="AH270" s="109"/>
      <c r="AI270" s="109"/>
      <c r="AJ270" s="109"/>
      <c r="AK270" s="108"/>
      <c r="AL270" s="108"/>
      <c r="AM270" s="108"/>
      <c r="AN270" s="108"/>
      <c r="BK270" s="107"/>
      <c r="BL270" s="107"/>
      <c r="BM270" s="107"/>
      <c r="BN270" s="107"/>
      <c r="BO270" s="107"/>
      <c r="BP270" s="121">
        <v>10</v>
      </c>
      <c r="BQ270" s="121">
        <v>40</v>
      </c>
      <c r="BR270" s="121">
        <v>40</v>
      </c>
      <c r="BS270" s="121">
        <v>0</v>
      </c>
      <c r="BT270" s="130">
        <f t="shared" si="391"/>
        <v>0</v>
      </c>
      <c r="BU270" s="130">
        <f t="shared" si="392"/>
        <v>1</v>
      </c>
      <c r="BV270" s="130">
        <f t="shared" ca="1" si="393"/>
        <v>0</v>
      </c>
      <c r="BW270" s="130">
        <f t="shared" ca="1" si="394"/>
        <v>1.6521372204034888</v>
      </c>
      <c r="BX270" s="109" t="str">
        <f t="shared" si="390"/>
        <v>C10M40Y40K0</v>
      </c>
      <c r="BZ270" s="112">
        <v>63.79</v>
      </c>
      <c r="CA270" s="112">
        <v>18.77</v>
      </c>
      <c r="CB270" s="112">
        <v>16.79</v>
      </c>
      <c r="CC270" s="112">
        <v>64.77</v>
      </c>
      <c r="CD270" s="112">
        <v>19.41</v>
      </c>
      <c r="CE270" s="112">
        <v>17.440000000000001</v>
      </c>
      <c r="CF270" s="112">
        <v>70.44</v>
      </c>
      <c r="CG270" s="112">
        <v>19.75</v>
      </c>
      <c r="CH270" s="112">
        <v>13.35</v>
      </c>
      <c r="CI270" s="112">
        <v>64.88</v>
      </c>
      <c r="CJ270" s="112">
        <v>21.16</v>
      </c>
      <c r="CK270" s="112">
        <v>18.82</v>
      </c>
      <c r="CL270" s="112">
        <v>68.28</v>
      </c>
      <c r="CM270" s="112">
        <v>19.68</v>
      </c>
      <c r="CN270" s="112">
        <v>18.53</v>
      </c>
      <c r="CO270" s="112">
        <v>66.739999999999995</v>
      </c>
      <c r="CP270" s="112">
        <v>19.29</v>
      </c>
      <c r="CQ270" s="112">
        <v>20.82</v>
      </c>
      <c r="CR270" s="112">
        <v>70.069999999999993</v>
      </c>
      <c r="CS270" s="112">
        <v>20.52</v>
      </c>
      <c r="CT270" s="112">
        <v>17</v>
      </c>
      <c r="CU270" s="112">
        <v>71.37</v>
      </c>
      <c r="CV270" s="112">
        <v>22.44</v>
      </c>
      <c r="CW270" s="112">
        <v>17.3</v>
      </c>
    </row>
    <row r="271" spans="2:101">
      <c r="B271" s="7"/>
      <c r="C271" s="7"/>
      <c r="D271" s="7"/>
      <c r="E271" s="7"/>
      <c r="F271" s="7"/>
      <c r="G271" s="7"/>
      <c r="H271" s="7"/>
      <c r="I271" s="7"/>
      <c r="J271" s="7"/>
      <c r="K271" s="7"/>
      <c r="L271" s="7"/>
      <c r="M271" s="7"/>
      <c r="N271" s="7"/>
      <c r="O271" s="7"/>
      <c r="P271" s="7"/>
      <c r="Q271" s="7"/>
      <c r="R271" s="64"/>
      <c r="S271" s="64"/>
      <c r="T271" s="64"/>
      <c r="U271" s="64"/>
      <c r="V271" s="64"/>
      <c r="W271" s="64"/>
      <c r="X271" s="64"/>
      <c r="Y271" s="64"/>
      <c r="Z271" s="64"/>
      <c r="AA271" s="64"/>
      <c r="AB271" s="64"/>
      <c r="AC271" s="64"/>
      <c r="AD271" s="64"/>
      <c r="AE271" s="134"/>
      <c r="AF271" s="134"/>
      <c r="AG271" s="109"/>
      <c r="AH271" s="109"/>
      <c r="AI271" s="109"/>
      <c r="AJ271" s="109"/>
      <c r="AK271" s="108"/>
      <c r="AL271" s="108"/>
      <c r="AM271" s="108"/>
      <c r="AN271" s="108"/>
      <c r="BK271" s="107"/>
      <c r="BL271" s="107"/>
      <c r="BM271" s="107"/>
      <c r="BN271" s="107"/>
      <c r="BO271" s="107"/>
      <c r="BP271" s="121">
        <v>40</v>
      </c>
      <c r="BQ271" s="121">
        <v>10</v>
      </c>
      <c r="BR271" s="121">
        <v>40</v>
      </c>
      <c r="BS271" s="121">
        <v>0</v>
      </c>
      <c r="BT271" s="130">
        <f t="shared" si="391"/>
        <v>0</v>
      </c>
      <c r="BU271" s="130">
        <f t="shared" si="392"/>
        <v>1</v>
      </c>
      <c r="BV271" s="130">
        <f t="shared" ca="1" si="393"/>
        <v>0</v>
      </c>
      <c r="BW271" s="130">
        <f t="shared" ca="1" si="394"/>
        <v>1.0228200519065844</v>
      </c>
      <c r="BX271" s="109" t="str">
        <f t="shared" si="390"/>
        <v>C40M10Y40K0</v>
      </c>
      <c r="BZ271" s="112">
        <v>65.28</v>
      </c>
      <c r="CA271" s="112">
        <v>-12.01</v>
      </c>
      <c r="CB271" s="112">
        <v>11.91</v>
      </c>
      <c r="CC271" s="112">
        <v>66.64</v>
      </c>
      <c r="CD271" s="112">
        <v>-13.27</v>
      </c>
      <c r="CE271" s="112">
        <v>11.92</v>
      </c>
      <c r="CF271" s="112">
        <v>72.599999999999994</v>
      </c>
      <c r="CG271" s="112">
        <v>-13.45</v>
      </c>
      <c r="CH271" s="112">
        <v>7.39</v>
      </c>
      <c r="CI271" s="112">
        <v>67.91</v>
      </c>
      <c r="CJ271" s="112">
        <v>-14.45</v>
      </c>
      <c r="CK271" s="112">
        <v>12.89</v>
      </c>
      <c r="CL271" s="112">
        <v>70.959999999999994</v>
      </c>
      <c r="CM271" s="112">
        <v>-14.19</v>
      </c>
      <c r="CN271" s="112">
        <v>10.26</v>
      </c>
      <c r="CO271" s="112">
        <v>69.37</v>
      </c>
      <c r="CP271" s="112">
        <v>-13.91</v>
      </c>
      <c r="CQ271" s="112">
        <v>13.01</v>
      </c>
      <c r="CR271" s="112">
        <v>72.83</v>
      </c>
      <c r="CS271" s="112">
        <v>-14.11</v>
      </c>
      <c r="CT271" s="112">
        <v>8.43</v>
      </c>
      <c r="CU271" s="112">
        <v>74.83</v>
      </c>
      <c r="CV271" s="112">
        <v>-15.13</v>
      </c>
      <c r="CW271" s="112">
        <v>9.15</v>
      </c>
    </row>
    <row r="272" spans="2:101">
      <c r="B272" s="7"/>
      <c r="C272" s="7"/>
      <c r="D272" s="7"/>
      <c r="E272" s="7"/>
      <c r="F272" s="7"/>
      <c r="G272" s="7"/>
      <c r="H272" s="7"/>
      <c r="I272" s="7"/>
      <c r="J272" s="7"/>
      <c r="K272" s="7"/>
      <c r="L272" s="7"/>
      <c r="M272" s="7"/>
      <c r="N272" s="7"/>
      <c r="O272" s="7"/>
      <c r="P272" s="7"/>
      <c r="Q272" s="7"/>
      <c r="R272" s="64"/>
      <c r="S272" s="64"/>
      <c r="T272" s="64"/>
      <c r="U272" s="64"/>
      <c r="V272" s="64"/>
      <c r="W272" s="64"/>
      <c r="X272" s="64"/>
      <c r="Y272" s="64"/>
      <c r="Z272" s="64"/>
      <c r="AA272" s="64"/>
      <c r="AB272" s="64"/>
      <c r="AC272" s="64"/>
      <c r="AD272" s="64"/>
      <c r="AE272" s="134"/>
      <c r="AF272" s="134"/>
      <c r="AG272" s="109"/>
      <c r="AH272" s="109"/>
      <c r="AI272" s="109"/>
      <c r="AJ272" s="109"/>
      <c r="AK272" s="108"/>
      <c r="AL272" s="108"/>
      <c r="AM272" s="108"/>
      <c r="AN272" s="108"/>
      <c r="BK272" s="107"/>
      <c r="BL272" s="107"/>
      <c r="BM272" s="107"/>
      <c r="BN272" s="107"/>
      <c r="BO272" s="107"/>
      <c r="BP272" s="121">
        <v>100</v>
      </c>
      <c r="BQ272" s="121">
        <v>40</v>
      </c>
      <c r="BR272" s="121">
        <v>0</v>
      </c>
      <c r="BS272" s="121">
        <v>0</v>
      </c>
      <c r="BT272" s="130">
        <f t="shared" si="391"/>
        <v>0</v>
      </c>
      <c r="BU272" s="130">
        <f t="shared" si="392"/>
        <v>1</v>
      </c>
      <c r="BV272" s="130">
        <f t="shared" ca="1" si="393"/>
        <v>0</v>
      </c>
      <c r="BW272" s="130">
        <f t="shared" ca="1" si="394"/>
        <v>1.9073731467729109</v>
      </c>
      <c r="BX272" s="109" t="str">
        <f t="shared" si="390"/>
        <v>C100M40Y0K0</v>
      </c>
      <c r="BZ272" s="112">
        <v>49.52</v>
      </c>
      <c r="CA272" s="112">
        <v>-6.46</v>
      </c>
      <c r="CB272" s="112">
        <v>-23.12</v>
      </c>
      <c r="CC272" s="112">
        <v>48.08</v>
      </c>
      <c r="CD272" s="112">
        <v>-8.75</v>
      </c>
      <c r="CE272" s="112">
        <v>-33.590000000000003</v>
      </c>
      <c r="CF272" s="112">
        <v>50.11</v>
      </c>
      <c r="CG272" s="112">
        <v>-10.050000000000001</v>
      </c>
      <c r="CH272" s="112">
        <v>-37.85</v>
      </c>
      <c r="CI272" s="112">
        <v>43.29</v>
      </c>
      <c r="CJ272" s="112">
        <v>-14.51</v>
      </c>
      <c r="CK272" s="112">
        <v>-38.909999999999997</v>
      </c>
      <c r="CL272" s="112">
        <v>45.78</v>
      </c>
      <c r="CM272" s="112">
        <v>-16.77</v>
      </c>
      <c r="CN272" s="112">
        <v>-42.9</v>
      </c>
      <c r="CO272" s="112">
        <v>44.7</v>
      </c>
      <c r="CP272" s="112">
        <v>-16.41</v>
      </c>
      <c r="CQ272" s="112">
        <v>-38.85</v>
      </c>
      <c r="CR272" s="112">
        <v>44.12</v>
      </c>
      <c r="CS272" s="112">
        <v>-16.25</v>
      </c>
      <c r="CT272" s="112">
        <v>-47.39</v>
      </c>
      <c r="CU272" s="112">
        <v>40.64</v>
      </c>
      <c r="CV272" s="112">
        <v>-16.3</v>
      </c>
      <c r="CW272" s="112">
        <v>-52.82</v>
      </c>
    </row>
    <row r="273" spans="2:101">
      <c r="B273" s="7"/>
      <c r="C273" s="7"/>
      <c r="D273" s="7"/>
      <c r="E273" s="7"/>
      <c r="F273" s="7"/>
      <c r="G273" s="7"/>
      <c r="H273" s="7"/>
      <c r="I273" s="7"/>
      <c r="J273" s="7"/>
      <c r="K273" s="7"/>
      <c r="L273" s="7"/>
      <c r="M273" s="7"/>
      <c r="N273" s="7"/>
      <c r="O273" s="7"/>
      <c r="P273" s="7"/>
      <c r="Q273" s="7"/>
      <c r="R273" s="64"/>
      <c r="S273" s="64"/>
      <c r="T273" s="64"/>
      <c r="U273" s="64"/>
      <c r="V273" s="64"/>
      <c r="W273" s="64"/>
      <c r="X273" s="64"/>
      <c r="Y273" s="64"/>
      <c r="Z273" s="64"/>
      <c r="AA273" s="64"/>
      <c r="AB273" s="64"/>
      <c r="AC273" s="64"/>
      <c r="AD273" s="64"/>
      <c r="AE273" s="134"/>
      <c r="AF273" s="134"/>
      <c r="AG273" s="109"/>
      <c r="AH273" s="109"/>
      <c r="AI273" s="109"/>
      <c r="AJ273" s="109"/>
      <c r="AK273" s="108"/>
      <c r="AL273" s="108"/>
      <c r="AM273" s="108"/>
      <c r="AN273" s="108"/>
      <c r="BK273" s="107"/>
      <c r="BL273" s="107"/>
      <c r="BM273" s="107"/>
      <c r="BN273" s="107"/>
      <c r="BO273" s="107"/>
      <c r="BP273" s="121">
        <v>0</v>
      </c>
      <c r="BQ273" s="121">
        <v>100</v>
      </c>
      <c r="BR273" s="121">
        <v>40</v>
      </c>
      <c r="BS273" s="121">
        <v>0</v>
      </c>
      <c r="BT273" s="130">
        <f t="shared" si="391"/>
        <v>0</v>
      </c>
      <c r="BU273" s="130">
        <f t="shared" si="392"/>
        <v>1</v>
      </c>
      <c r="BV273" s="130">
        <f t="shared" ca="1" si="393"/>
        <v>0</v>
      </c>
      <c r="BW273" s="130">
        <f t="shared" ca="1" si="394"/>
        <v>1.9971041172477773</v>
      </c>
      <c r="BX273" s="109" t="str">
        <f t="shared" si="390"/>
        <v>C0M100Y40K0</v>
      </c>
      <c r="BZ273" s="112">
        <v>54.88</v>
      </c>
      <c r="CA273" s="112">
        <v>45.23</v>
      </c>
      <c r="CB273" s="112">
        <v>13.97</v>
      </c>
      <c r="CC273" s="112">
        <v>52.06</v>
      </c>
      <c r="CD273" s="112">
        <v>56.18</v>
      </c>
      <c r="CE273" s="112">
        <v>12.52</v>
      </c>
      <c r="CF273" s="112">
        <v>55.46</v>
      </c>
      <c r="CG273" s="112">
        <v>56.99</v>
      </c>
      <c r="CH273" s="112">
        <v>10.09</v>
      </c>
      <c r="CI273" s="112">
        <v>47.08</v>
      </c>
      <c r="CJ273" s="112">
        <v>64</v>
      </c>
      <c r="CK273" s="112">
        <v>15.36</v>
      </c>
      <c r="CL273" s="112">
        <v>48.71</v>
      </c>
      <c r="CM273" s="112">
        <v>68.489999999999995</v>
      </c>
      <c r="CN273" s="112">
        <v>15.33</v>
      </c>
      <c r="CO273" s="112">
        <v>47.57</v>
      </c>
      <c r="CP273" s="112">
        <v>67.09</v>
      </c>
      <c r="CQ273" s="112">
        <v>16.93</v>
      </c>
      <c r="CR273" s="112">
        <v>48.61</v>
      </c>
      <c r="CS273" s="112">
        <v>71.459999999999994</v>
      </c>
      <c r="CT273" s="112">
        <v>16.14</v>
      </c>
      <c r="CU273" s="112">
        <v>47.89</v>
      </c>
      <c r="CV273" s="112">
        <v>75.88</v>
      </c>
      <c r="CW273" s="112">
        <v>14.27</v>
      </c>
    </row>
    <row r="274" spans="2:101">
      <c r="B274" s="7"/>
      <c r="C274" s="7"/>
      <c r="D274" s="7"/>
      <c r="E274" s="7"/>
      <c r="F274" s="7"/>
      <c r="G274" s="7"/>
      <c r="H274" s="7"/>
      <c r="I274" s="7"/>
      <c r="J274" s="7"/>
      <c r="K274" s="7"/>
      <c r="L274" s="7"/>
      <c r="M274" s="7"/>
      <c r="N274" s="7"/>
      <c r="O274" s="7"/>
      <c r="P274" s="7"/>
      <c r="Q274" s="7"/>
      <c r="R274" s="64"/>
      <c r="S274" s="64"/>
      <c r="T274" s="64"/>
      <c r="U274" s="64"/>
      <c r="V274" s="64"/>
      <c r="W274" s="64"/>
      <c r="X274" s="64"/>
      <c r="Y274" s="64"/>
      <c r="Z274" s="64"/>
      <c r="AA274" s="64"/>
      <c r="AB274" s="64"/>
      <c r="AC274" s="64"/>
      <c r="AD274" s="64"/>
      <c r="AE274" s="134"/>
      <c r="AF274" s="134"/>
      <c r="AG274" s="113"/>
      <c r="BK274" s="107"/>
      <c r="BL274" s="107"/>
      <c r="BM274" s="107"/>
      <c r="BN274" s="107"/>
      <c r="BO274" s="107"/>
      <c r="BP274" s="121">
        <v>40</v>
      </c>
      <c r="BQ274" s="121">
        <v>0</v>
      </c>
      <c r="BR274" s="121">
        <v>100</v>
      </c>
      <c r="BS274" s="121">
        <v>0</v>
      </c>
      <c r="BT274" s="130">
        <f t="shared" si="391"/>
        <v>0</v>
      </c>
      <c r="BU274" s="130">
        <f t="shared" si="392"/>
        <v>1</v>
      </c>
      <c r="BV274" s="130">
        <f t="shared" ca="1" si="393"/>
        <v>0</v>
      </c>
      <c r="BW274" s="130">
        <f t="shared" ca="1" si="394"/>
        <v>1.9931696451153758</v>
      </c>
      <c r="BX274" s="109" t="str">
        <f t="shared" si="390"/>
        <v>C40M0Y100K0</v>
      </c>
      <c r="BZ274" s="112">
        <v>65.540000000000006</v>
      </c>
      <c r="CA274" s="112">
        <v>-19.82</v>
      </c>
      <c r="CB274" s="112">
        <v>36.409999999999997</v>
      </c>
      <c r="CC274" s="112">
        <v>68.14</v>
      </c>
      <c r="CD274" s="112">
        <v>-20.059999999999999</v>
      </c>
      <c r="CE274" s="112">
        <v>46.8</v>
      </c>
      <c r="CF274" s="112">
        <v>72.72</v>
      </c>
      <c r="CG274" s="112">
        <v>-21.86</v>
      </c>
      <c r="CH274" s="112">
        <v>48.39</v>
      </c>
      <c r="CI274" s="112">
        <v>67.81</v>
      </c>
      <c r="CJ274" s="112">
        <v>-23.15</v>
      </c>
      <c r="CK274" s="112">
        <v>57.29</v>
      </c>
      <c r="CL274" s="112">
        <v>73.510000000000005</v>
      </c>
      <c r="CM274" s="112">
        <v>-22.14</v>
      </c>
      <c r="CN274" s="112">
        <v>62.37</v>
      </c>
      <c r="CO274" s="112">
        <v>71.87</v>
      </c>
      <c r="CP274" s="112">
        <v>-21.7</v>
      </c>
      <c r="CQ274" s="112">
        <v>62.9</v>
      </c>
      <c r="CR274" s="112">
        <v>73.930000000000007</v>
      </c>
      <c r="CS274" s="112">
        <v>-24.83</v>
      </c>
      <c r="CT274" s="112">
        <v>66.08</v>
      </c>
      <c r="CU274" s="112">
        <v>74.69</v>
      </c>
      <c r="CV274" s="112">
        <v>-26.31</v>
      </c>
      <c r="CW274" s="112">
        <v>72.680000000000007</v>
      </c>
    </row>
    <row r="275" spans="2:101">
      <c r="B275" s="7"/>
      <c r="C275" s="7"/>
      <c r="D275" s="7"/>
      <c r="E275" s="7"/>
      <c r="F275" s="7"/>
      <c r="G275" s="7"/>
      <c r="H275" s="7"/>
      <c r="I275" s="7"/>
      <c r="J275" s="7"/>
      <c r="K275" s="7"/>
      <c r="L275" s="7"/>
      <c r="M275" s="7"/>
      <c r="N275" s="7"/>
      <c r="O275" s="7"/>
      <c r="P275" s="7"/>
      <c r="Q275" s="7"/>
      <c r="R275" s="64"/>
      <c r="S275" s="64"/>
      <c r="T275" s="64"/>
      <c r="U275" s="64"/>
      <c r="V275" s="64"/>
      <c r="W275" s="64"/>
      <c r="X275" s="64"/>
      <c r="Y275" s="64"/>
      <c r="Z275" s="64"/>
      <c r="AA275" s="64"/>
      <c r="AB275" s="64"/>
      <c r="AC275" s="64"/>
      <c r="AD275" s="64"/>
      <c r="AE275" s="134"/>
      <c r="AF275" s="134"/>
      <c r="AG275" s="113"/>
      <c r="BK275" s="107"/>
      <c r="BL275" s="107"/>
      <c r="BM275" s="107"/>
      <c r="BN275" s="107"/>
      <c r="BO275" s="107"/>
      <c r="BP275" s="121">
        <v>40</v>
      </c>
      <c r="BQ275" s="121">
        <v>100</v>
      </c>
      <c r="BR275" s="121">
        <v>0</v>
      </c>
      <c r="BS275" s="121">
        <v>0</v>
      </c>
      <c r="BT275" s="130">
        <f t="shared" si="391"/>
        <v>0</v>
      </c>
      <c r="BU275" s="130">
        <f t="shared" si="392"/>
        <v>1</v>
      </c>
      <c r="BV275" s="130">
        <f t="shared" ca="1" si="393"/>
        <v>0</v>
      </c>
      <c r="BW275" s="130">
        <f t="shared" ca="1" si="394"/>
        <v>1.97418743202048</v>
      </c>
      <c r="BX275" s="109" t="str">
        <f t="shared" si="390"/>
        <v>C40M100Y0K0</v>
      </c>
      <c r="BZ275" s="112">
        <v>48.5</v>
      </c>
      <c r="CA275" s="112">
        <v>25.42</v>
      </c>
      <c r="CB275" s="112">
        <v>-11.83</v>
      </c>
      <c r="CC275" s="112">
        <v>44.95</v>
      </c>
      <c r="CD275" s="112">
        <v>37.96</v>
      </c>
      <c r="CE275" s="112">
        <v>-17.510000000000002</v>
      </c>
      <c r="CF275" s="112">
        <v>48.11</v>
      </c>
      <c r="CG275" s="112">
        <v>37.22</v>
      </c>
      <c r="CH275" s="112">
        <v>-15.4</v>
      </c>
      <c r="CI275" s="112">
        <v>38.33</v>
      </c>
      <c r="CJ275" s="112">
        <v>44.1</v>
      </c>
      <c r="CK275" s="112">
        <v>-20.8</v>
      </c>
      <c r="CL275" s="112">
        <v>39.56</v>
      </c>
      <c r="CM275" s="112">
        <v>51.42</v>
      </c>
      <c r="CN275" s="112">
        <v>-21.27</v>
      </c>
      <c r="CO275" s="112">
        <v>38.619999999999997</v>
      </c>
      <c r="CP275" s="112">
        <v>50.32</v>
      </c>
      <c r="CQ275" s="112">
        <v>-18.38</v>
      </c>
      <c r="CR275" s="112">
        <v>39.03</v>
      </c>
      <c r="CS275" s="112">
        <v>52.81</v>
      </c>
      <c r="CT275" s="112">
        <v>-21.85</v>
      </c>
      <c r="CU275" s="112">
        <v>36.53</v>
      </c>
      <c r="CV275" s="112">
        <v>58.95</v>
      </c>
      <c r="CW275" s="112">
        <v>-27.56</v>
      </c>
    </row>
    <row r="276" spans="2:101">
      <c r="B276" s="7"/>
      <c r="C276" s="7"/>
      <c r="D276" s="7"/>
      <c r="E276" s="7"/>
      <c r="F276" s="7"/>
      <c r="G276" s="7"/>
      <c r="H276" s="7"/>
      <c r="I276" s="7"/>
      <c r="J276" s="7"/>
      <c r="K276" s="7"/>
      <c r="L276" s="7"/>
      <c r="M276" s="7"/>
      <c r="N276" s="7"/>
      <c r="O276" s="7"/>
      <c r="P276" s="7"/>
      <c r="Q276" s="7"/>
      <c r="R276" s="64"/>
      <c r="S276" s="64"/>
      <c r="T276" s="64"/>
      <c r="U276" s="64"/>
      <c r="V276" s="64"/>
      <c r="W276" s="64"/>
      <c r="X276" s="64"/>
      <c r="Y276" s="64"/>
      <c r="Z276" s="64"/>
      <c r="AA276" s="64"/>
      <c r="AB276" s="64"/>
      <c r="AC276" s="64"/>
      <c r="AD276" s="64"/>
      <c r="AE276" s="134"/>
      <c r="AF276" s="134"/>
      <c r="AG276" s="113"/>
      <c r="BK276" s="107"/>
      <c r="BL276" s="107"/>
      <c r="BM276" s="107"/>
      <c r="BN276" s="107"/>
      <c r="BO276" s="107"/>
      <c r="BP276" s="121">
        <v>0</v>
      </c>
      <c r="BQ276" s="121">
        <v>40</v>
      </c>
      <c r="BR276" s="121">
        <v>100</v>
      </c>
      <c r="BS276" s="121">
        <v>0</v>
      </c>
      <c r="BT276" s="130">
        <f t="shared" si="391"/>
        <v>0</v>
      </c>
      <c r="BU276" s="130">
        <f t="shared" si="392"/>
        <v>1</v>
      </c>
      <c r="BV276" s="130">
        <f t="shared" ca="1" si="393"/>
        <v>0</v>
      </c>
      <c r="BW276" s="130">
        <f t="shared" ca="1" si="394"/>
        <v>1.9963921048346989</v>
      </c>
      <c r="BX276" s="109" t="str">
        <f t="shared" si="390"/>
        <v>C0M40Y100K0</v>
      </c>
      <c r="BZ276" s="112">
        <v>64.61</v>
      </c>
      <c r="CA276" s="112">
        <v>23.67</v>
      </c>
      <c r="CB276" s="112">
        <v>39.14</v>
      </c>
      <c r="CC276" s="112">
        <v>66.739999999999995</v>
      </c>
      <c r="CD276" s="112">
        <v>24.04</v>
      </c>
      <c r="CE276" s="112">
        <v>50.36</v>
      </c>
      <c r="CF276" s="112">
        <v>71.11</v>
      </c>
      <c r="CG276" s="112">
        <v>24.4</v>
      </c>
      <c r="CH276" s="112">
        <v>50.21</v>
      </c>
      <c r="CI276" s="112">
        <v>65.41</v>
      </c>
      <c r="CJ276" s="112">
        <v>25.95</v>
      </c>
      <c r="CK276" s="112">
        <v>61.86</v>
      </c>
      <c r="CL276" s="112">
        <v>70.72</v>
      </c>
      <c r="CM276" s="112">
        <v>22.92</v>
      </c>
      <c r="CN276" s="112">
        <v>68.180000000000007</v>
      </c>
      <c r="CO276" s="112">
        <v>69.13</v>
      </c>
      <c r="CP276" s="112">
        <v>22.47</v>
      </c>
      <c r="CQ276" s="112">
        <v>68.28</v>
      </c>
      <c r="CR276" s="112">
        <v>71.36</v>
      </c>
      <c r="CS276" s="112">
        <v>23.52</v>
      </c>
      <c r="CT276" s="112">
        <v>71.84</v>
      </c>
      <c r="CU276" s="112">
        <v>71.34</v>
      </c>
      <c r="CV276" s="112">
        <v>27.9</v>
      </c>
      <c r="CW276" s="112">
        <v>79.72</v>
      </c>
    </row>
    <row r="277" spans="2:101">
      <c r="B277" s="7"/>
      <c r="C277" s="7"/>
      <c r="D277" s="7"/>
      <c r="E277" s="7"/>
      <c r="F277" s="7"/>
      <c r="G277" s="7"/>
      <c r="H277" s="7"/>
      <c r="I277" s="7"/>
      <c r="J277" s="7"/>
      <c r="K277" s="7"/>
      <c r="L277" s="7"/>
      <c r="M277" s="7"/>
      <c r="N277" s="7"/>
      <c r="O277" s="7"/>
      <c r="P277" s="7"/>
      <c r="Q277" s="7"/>
      <c r="R277" s="64"/>
      <c r="S277" s="64"/>
      <c r="T277" s="64"/>
      <c r="U277" s="64"/>
      <c r="V277" s="64"/>
      <c r="W277" s="64"/>
      <c r="X277" s="64"/>
      <c r="Y277" s="64"/>
      <c r="Z277" s="64"/>
      <c r="AA277" s="64"/>
      <c r="AB277" s="64"/>
      <c r="AC277" s="64"/>
      <c r="AD277" s="64"/>
      <c r="AE277" s="134"/>
      <c r="AF277" s="134"/>
      <c r="AG277" s="113"/>
      <c r="BK277" s="107"/>
      <c r="BL277" s="107"/>
      <c r="BM277" s="107"/>
      <c r="BN277" s="107"/>
      <c r="BO277" s="107"/>
      <c r="BP277" s="121">
        <v>100</v>
      </c>
      <c r="BQ277" s="121">
        <v>0</v>
      </c>
      <c r="BR277" s="121">
        <v>40</v>
      </c>
      <c r="BS277" s="121">
        <v>0</v>
      </c>
      <c r="BT277" s="130">
        <f t="shared" si="391"/>
        <v>0</v>
      </c>
      <c r="BU277" s="130">
        <f t="shared" si="392"/>
        <v>1</v>
      </c>
      <c r="BV277" s="130">
        <f t="shared" ca="1" si="393"/>
        <v>0</v>
      </c>
      <c r="BW277" s="130">
        <f t="shared" ca="1" si="394"/>
        <v>1.954137040845453</v>
      </c>
      <c r="BX277" s="109" t="str">
        <f t="shared" si="390"/>
        <v>C100M0Y40K0</v>
      </c>
      <c r="BZ277" s="112">
        <v>56.03</v>
      </c>
      <c r="CA277" s="112">
        <v>-30.86</v>
      </c>
      <c r="CB277" s="112">
        <v>-1.1399999999999999</v>
      </c>
      <c r="CC277" s="112">
        <v>55.04</v>
      </c>
      <c r="CD277" s="112">
        <v>-37.229999999999997</v>
      </c>
      <c r="CE277" s="112">
        <v>-8.49</v>
      </c>
      <c r="CF277" s="112">
        <v>57.67</v>
      </c>
      <c r="CG277" s="112">
        <v>-37.1</v>
      </c>
      <c r="CH277" s="112">
        <v>-14.73</v>
      </c>
      <c r="CI277" s="112">
        <v>52.46</v>
      </c>
      <c r="CJ277" s="112">
        <v>-46.73</v>
      </c>
      <c r="CK277" s="112">
        <v>-9.1300000000000008</v>
      </c>
      <c r="CL277" s="112">
        <v>55.78</v>
      </c>
      <c r="CM277" s="112">
        <v>-48.6</v>
      </c>
      <c r="CN277" s="112">
        <v>-15.81</v>
      </c>
      <c r="CO277" s="112">
        <v>54.49</v>
      </c>
      <c r="CP277" s="112">
        <v>-47.58</v>
      </c>
      <c r="CQ277" s="112">
        <v>-12.54</v>
      </c>
      <c r="CR277" s="112">
        <v>54.26</v>
      </c>
      <c r="CS277" s="112">
        <v>-52.09</v>
      </c>
      <c r="CT277" s="112">
        <v>-19.059999999999999</v>
      </c>
      <c r="CU277" s="112">
        <v>52.78</v>
      </c>
      <c r="CV277" s="112">
        <v>-58.09</v>
      </c>
      <c r="CW277" s="112">
        <v>-22.16</v>
      </c>
    </row>
    <row r="278" spans="2:101">
      <c r="B278" s="7"/>
      <c r="C278" s="7"/>
      <c r="D278" s="7"/>
      <c r="E278" s="7"/>
      <c r="F278" s="7"/>
      <c r="G278" s="7"/>
      <c r="H278" s="7"/>
      <c r="I278" s="7"/>
      <c r="J278" s="7"/>
      <c r="K278" s="7"/>
      <c r="L278" s="7"/>
      <c r="M278" s="7"/>
      <c r="N278" s="7"/>
      <c r="O278" s="7"/>
      <c r="P278" s="7"/>
      <c r="Q278" s="7"/>
      <c r="R278" s="64"/>
      <c r="S278" s="64"/>
      <c r="T278" s="64"/>
      <c r="U278" s="64"/>
      <c r="V278" s="64"/>
      <c r="W278" s="64"/>
      <c r="X278" s="64"/>
      <c r="Y278" s="64"/>
      <c r="Z278" s="64"/>
      <c r="AA278" s="64"/>
      <c r="AB278" s="64"/>
      <c r="AC278" s="64"/>
      <c r="AD278" s="64"/>
      <c r="AE278" s="134"/>
      <c r="AF278" s="134"/>
      <c r="AG278" s="113"/>
      <c r="BK278" s="107"/>
      <c r="BL278" s="107"/>
      <c r="BM278" s="107"/>
      <c r="BN278" s="107"/>
      <c r="BO278" s="107"/>
      <c r="BP278" s="121">
        <v>100</v>
      </c>
      <c r="BQ278" s="121">
        <v>0</v>
      </c>
      <c r="BR278" s="121">
        <v>0</v>
      </c>
      <c r="BS278" s="121">
        <v>80</v>
      </c>
      <c r="BT278" s="130">
        <f t="shared" si="391"/>
        <v>0</v>
      </c>
      <c r="BU278" s="130">
        <f t="shared" si="392"/>
        <v>1</v>
      </c>
      <c r="BV278" s="130">
        <f t="shared" ca="1" si="393"/>
        <v>0</v>
      </c>
      <c r="BW278" s="130">
        <f t="shared" ca="1" si="394"/>
        <v>0.25715074291503531</v>
      </c>
      <c r="BX278" s="109" t="str">
        <f t="shared" si="390"/>
        <v>C100M0Y0K80</v>
      </c>
      <c r="BZ278" s="112">
        <v>36.630000000000003</v>
      </c>
      <c r="CA278" s="112">
        <v>-8.11</v>
      </c>
      <c r="CB278" s="112">
        <v>-5.67</v>
      </c>
      <c r="CC278" s="112">
        <v>29.88</v>
      </c>
      <c r="CD278" s="112">
        <v>-6.79</v>
      </c>
      <c r="CE278" s="112">
        <v>-9.7899999999999991</v>
      </c>
      <c r="CF278" s="112">
        <v>34.89</v>
      </c>
      <c r="CG278" s="112">
        <v>-5.82</v>
      </c>
      <c r="CH278" s="112">
        <v>-9.94</v>
      </c>
      <c r="CI278" s="112">
        <v>24.18</v>
      </c>
      <c r="CJ278" s="112">
        <v>-12.33</v>
      </c>
      <c r="CK278" s="112">
        <v>-12.28</v>
      </c>
      <c r="CL278" s="112">
        <v>24.03</v>
      </c>
      <c r="CM278" s="112">
        <v>-14.67</v>
      </c>
      <c r="CN278" s="112">
        <v>-16.579999999999998</v>
      </c>
      <c r="CO278" s="112">
        <v>23.47</v>
      </c>
      <c r="CP278" s="112">
        <v>-14.24</v>
      </c>
      <c r="CQ278" s="112">
        <v>-14.5</v>
      </c>
      <c r="CR278" s="112">
        <v>21.74</v>
      </c>
      <c r="CS278" s="112">
        <v>-15.31</v>
      </c>
      <c r="CT278" s="112">
        <v>-19.73</v>
      </c>
      <c r="CU278" s="112">
        <v>19.010000000000002</v>
      </c>
      <c r="CV278" s="112">
        <v>-18.07</v>
      </c>
      <c r="CW278" s="112">
        <v>-20.6</v>
      </c>
    </row>
    <row r="279" spans="2:101">
      <c r="B279" s="7"/>
      <c r="C279" s="7"/>
      <c r="D279" s="7"/>
      <c r="E279" s="7"/>
      <c r="F279" s="7"/>
      <c r="G279" s="7"/>
      <c r="H279" s="7"/>
      <c r="I279" s="7"/>
      <c r="J279" s="7"/>
      <c r="K279" s="7"/>
      <c r="L279" s="7"/>
      <c r="M279" s="7"/>
      <c r="N279" s="7"/>
      <c r="O279" s="7"/>
      <c r="P279" s="7"/>
      <c r="Q279" s="7"/>
      <c r="R279" s="64"/>
      <c r="S279" s="64"/>
      <c r="T279" s="64"/>
      <c r="U279" s="64"/>
      <c r="V279" s="64"/>
      <c r="W279" s="64"/>
      <c r="X279" s="64"/>
      <c r="Y279" s="64"/>
      <c r="Z279" s="64"/>
      <c r="AA279" s="64"/>
      <c r="AB279" s="64"/>
      <c r="AC279" s="64"/>
      <c r="AD279" s="64"/>
      <c r="AE279" s="134"/>
      <c r="AF279" s="134"/>
      <c r="AG279" s="113"/>
      <c r="BK279" s="107"/>
      <c r="BL279" s="107"/>
      <c r="BM279" s="107"/>
      <c r="BN279" s="107"/>
      <c r="BO279" s="107"/>
      <c r="BP279" s="121">
        <v>0</v>
      </c>
      <c r="BQ279" s="121">
        <v>100</v>
      </c>
      <c r="BR279" s="121">
        <v>0</v>
      </c>
      <c r="BS279" s="121">
        <v>80</v>
      </c>
      <c r="BT279" s="130">
        <f t="shared" si="391"/>
        <v>0</v>
      </c>
      <c r="BU279" s="130">
        <f t="shared" si="392"/>
        <v>1</v>
      </c>
      <c r="BV279" s="130">
        <f t="shared" ca="1" si="393"/>
        <v>0</v>
      </c>
      <c r="BW279" s="130">
        <f t="shared" ca="1" si="394"/>
        <v>1.3180091409398877</v>
      </c>
      <c r="BX279" s="109" t="str">
        <f t="shared" si="390"/>
        <v>C0M100Y0K80</v>
      </c>
      <c r="BZ279" s="112">
        <v>36.42</v>
      </c>
      <c r="CA279" s="112">
        <v>15.41</v>
      </c>
      <c r="CB279" s="112">
        <v>2.5499999999999998</v>
      </c>
      <c r="CC279" s="112">
        <v>29.16</v>
      </c>
      <c r="CD279" s="112">
        <v>17.760000000000002</v>
      </c>
      <c r="CE279" s="112">
        <v>0.51</v>
      </c>
      <c r="CF279" s="112">
        <v>34.97</v>
      </c>
      <c r="CG279" s="112">
        <v>13.44</v>
      </c>
      <c r="CH279" s="112">
        <v>1.96</v>
      </c>
      <c r="CI279" s="112">
        <v>22.02</v>
      </c>
      <c r="CJ279" s="112">
        <v>22.12</v>
      </c>
      <c r="CK279" s="112">
        <v>-0.98</v>
      </c>
      <c r="CL279" s="112">
        <v>19.510000000000002</v>
      </c>
      <c r="CM279" s="112">
        <v>27.91</v>
      </c>
      <c r="CN279" s="112">
        <v>-1</v>
      </c>
      <c r="CO279" s="112">
        <v>19.079999999999998</v>
      </c>
      <c r="CP279" s="112">
        <v>27.09</v>
      </c>
      <c r="CQ279" s="112">
        <v>0.01</v>
      </c>
      <c r="CR279" s="112">
        <v>19.3</v>
      </c>
      <c r="CS279" s="112">
        <v>28.12</v>
      </c>
      <c r="CT279" s="112">
        <v>-0.32</v>
      </c>
      <c r="CU279" s="112">
        <v>16.61</v>
      </c>
      <c r="CV279" s="112">
        <v>29.79</v>
      </c>
      <c r="CW279" s="112">
        <v>-1.63</v>
      </c>
    </row>
    <row r="280" spans="2:101">
      <c r="B280" s="7"/>
      <c r="C280" s="7"/>
      <c r="D280" s="7"/>
      <c r="E280" s="7"/>
      <c r="F280" s="7"/>
      <c r="G280" s="7"/>
      <c r="H280" s="7"/>
      <c r="I280" s="7"/>
      <c r="J280" s="7"/>
      <c r="K280" s="7"/>
      <c r="L280" s="7"/>
      <c r="M280" s="7"/>
      <c r="N280" s="7"/>
      <c r="O280" s="7"/>
      <c r="P280" s="7"/>
      <c r="Q280" s="7"/>
      <c r="R280" s="64"/>
      <c r="S280" s="64"/>
      <c r="T280" s="64"/>
      <c r="U280" s="64"/>
      <c r="V280" s="64"/>
      <c r="W280" s="64"/>
      <c r="X280" s="64"/>
      <c r="Y280" s="64"/>
      <c r="Z280" s="64"/>
      <c r="AA280" s="64"/>
      <c r="AB280" s="64"/>
      <c r="AC280" s="64"/>
      <c r="AD280" s="64"/>
      <c r="AE280" s="134"/>
      <c r="AF280" s="134"/>
      <c r="AG280" s="113"/>
      <c r="BK280" s="107"/>
      <c r="BL280" s="107"/>
      <c r="BM280" s="107"/>
      <c r="BN280" s="107"/>
      <c r="BO280" s="107"/>
      <c r="BP280" s="121">
        <v>0</v>
      </c>
      <c r="BQ280" s="121">
        <v>0</v>
      </c>
      <c r="BR280" s="121">
        <v>100</v>
      </c>
      <c r="BS280" s="121">
        <v>80</v>
      </c>
      <c r="BT280" s="130">
        <f t="shared" si="391"/>
        <v>0</v>
      </c>
      <c r="BU280" s="130">
        <f t="shared" si="392"/>
        <v>1</v>
      </c>
      <c r="BV280" s="130">
        <f t="shared" ca="1" si="393"/>
        <v>0</v>
      </c>
      <c r="BW280" s="130">
        <f t="shared" ca="1" si="394"/>
        <v>0.64413124029885993</v>
      </c>
      <c r="BX280" s="109" t="str">
        <f t="shared" si="390"/>
        <v>C0M0Y100K80</v>
      </c>
      <c r="BZ280" s="112">
        <v>43.38</v>
      </c>
      <c r="CA280" s="112">
        <v>-0.77</v>
      </c>
      <c r="CB280" s="112">
        <v>18.71</v>
      </c>
      <c r="CC280" s="112">
        <v>36.840000000000003</v>
      </c>
      <c r="CD280" s="112">
        <v>-2.7</v>
      </c>
      <c r="CE280" s="112">
        <v>18.010000000000002</v>
      </c>
      <c r="CF280" s="112">
        <v>39.049999999999997</v>
      </c>
      <c r="CG280" s="112">
        <v>-4.32</v>
      </c>
      <c r="CH280" s="112">
        <v>12.39</v>
      </c>
      <c r="CI280" s="112">
        <v>33.119999999999997</v>
      </c>
      <c r="CJ280" s="112">
        <v>-2.09</v>
      </c>
      <c r="CK280" s="112">
        <v>24.61</v>
      </c>
      <c r="CL280" s="112">
        <v>33.74</v>
      </c>
      <c r="CM280" s="112">
        <v>-2.94</v>
      </c>
      <c r="CN280" s="112">
        <v>31.4</v>
      </c>
      <c r="CO280" s="112">
        <v>32.93</v>
      </c>
      <c r="CP280" s="112">
        <v>-2.87</v>
      </c>
      <c r="CQ280" s="112">
        <v>31.2</v>
      </c>
      <c r="CR280" s="112">
        <v>33.409999999999997</v>
      </c>
      <c r="CS280" s="112">
        <v>-4.5199999999999996</v>
      </c>
      <c r="CT280" s="112">
        <v>30.96</v>
      </c>
      <c r="CU280" s="112">
        <v>30.52</v>
      </c>
      <c r="CV280" s="112">
        <v>-4.13</v>
      </c>
      <c r="CW280" s="112">
        <v>34.729999999999997</v>
      </c>
    </row>
    <row r="281" spans="2:101">
      <c r="B281" s="7"/>
      <c r="C281" s="7"/>
      <c r="D281" s="7"/>
      <c r="E281" s="7"/>
      <c r="F281" s="7"/>
      <c r="G281" s="7"/>
      <c r="H281" s="7"/>
      <c r="I281" s="7"/>
      <c r="J281" s="7"/>
      <c r="K281" s="7"/>
      <c r="L281" s="7"/>
      <c r="M281" s="7"/>
      <c r="N281" s="7"/>
      <c r="O281" s="7"/>
      <c r="P281" s="7"/>
      <c r="Q281" s="7"/>
      <c r="R281" s="64"/>
      <c r="S281" s="64"/>
      <c r="T281" s="64"/>
      <c r="U281" s="64"/>
      <c r="V281" s="64"/>
      <c r="W281" s="64"/>
      <c r="X281" s="64"/>
      <c r="Y281" s="64"/>
      <c r="Z281" s="64"/>
      <c r="AA281" s="64"/>
      <c r="AB281" s="64"/>
      <c r="AC281" s="64"/>
      <c r="AD281" s="64"/>
      <c r="AE281" s="134"/>
      <c r="AF281" s="134"/>
      <c r="AG281" s="113"/>
      <c r="BK281" s="107"/>
      <c r="BL281" s="107"/>
      <c r="BM281" s="107"/>
      <c r="BN281" s="107"/>
      <c r="BO281" s="107"/>
      <c r="BX281" s="109"/>
    </row>
    <row r="282" spans="2:101">
      <c r="B282" s="7"/>
      <c r="C282" s="7"/>
      <c r="D282" s="7"/>
      <c r="E282" s="7"/>
      <c r="F282" s="7"/>
      <c r="G282" s="7"/>
      <c r="H282" s="7"/>
      <c r="I282" s="7"/>
      <c r="J282" s="7"/>
      <c r="K282" s="7"/>
      <c r="L282" s="7"/>
      <c r="M282" s="7"/>
      <c r="N282" s="7"/>
      <c r="O282" s="7"/>
      <c r="P282" s="7"/>
      <c r="Q282" s="7"/>
      <c r="R282" s="64"/>
      <c r="S282" s="64"/>
      <c r="T282" s="64"/>
      <c r="U282" s="64"/>
      <c r="V282" s="64"/>
      <c r="W282" s="64"/>
      <c r="X282" s="64"/>
      <c r="Y282" s="64"/>
      <c r="Z282" s="64"/>
      <c r="AA282" s="64"/>
      <c r="AB282" s="64"/>
      <c r="AC282" s="64"/>
      <c r="AD282" s="64"/>
      <c r="AE282" s="134"/>
      <c r="AF282" s="134"/>
      <c r="AG282" s="113"/>
      <c r="BK282" s="107"/>
      <c r="BL282" s="107"/>
      <c r="BM282" s="107"/>
      <c r="BN282" s="107"/>
      <c r="BO282" s="107"/>
    </row>
    <row r="283" spans="2:101">
      <c r="B283" s="7"/>
      <c r="C283" s="7"/>
      <c r="D283" s="7"/>
      <c r="E283" s="7"/>
      <c r="F283" s="7"/>
      <c r="G283" s="7"/>
      <c r="H283" s="7"/>
      <c r="I283" s="7"/>
      <c r="J283" s="7"/>
      <c r="K283" s="7"/>
      <c r="L283" s="7"/>
      <c r="M283" s="7"/>
      <c r="N283" s="7"/>
      <c r="O283" s="7"/>
      <c r="P283" s="7"/>
      <c r="Q283" s="7"/>
      <c r="R283" s="64"/>
      <c r="S283" s="64"/>
      <c r="T283" s="64"/>
      <c r="U283" s="64"/>
      <c r="V283" s="64"/>
      <c r="W283" s="64"/>
      <c r="X283" s="64"/>
      <c r="Y283" s="64"/>
      <c r="Z283" s="64"/>
      <c r="AA283" s="64"/>
      <c r="AB283" s="64"/>
      <c r="AC283" s="64"/>
      <c r="AD283" s="64"/>
      <c r="AE283" s="134"/>
      <c r="AF283" s="134"/>
      <c r="AG283" s="113"/>
      <c r="BK283" s="107"/>
      <c r="BL283" s="107"/>
      <c r="BM283" s="107"/>
      <c r="BN283" s="107"/>
      <c r="BO283" s="107"/>
    </row>
    <row r="284" spans="2:101">
      <c r="B284" s="7"/>
      <c r="C284" s="7"/>
      <c r="D284" s="7"/>
      <c r="E284" s="7"/>
      <c r="F284" s="7"/>
      <c r="G284" s="7"/>
      <c r="H284" s="7"/>
      <c r="I284" s="7"/>
      <c r="J284" s="7"/>
      <c r="K284" s="7"/>
      <c r="L284" s="7"/>
      <c r="M284" s="7"/>
      <c r="N284" s="7"/>
      <c r="O284" s="7"/>
      <c r="P284" s="7"/>
      <c r="Q284" s="7"/>
      <c r="R284" s="64"/>
      <c r="S284" s="64"/>
      <c r="T284" s="64"/>
      <c r="U284" s="64"/>
      <c r="V284" s="64"/>
      <c r="W284" s="64"/>
      <c r="X284" s="64"/>
      <c r="Y284" s="64"/>
      <c r="Z284" s="64"/>
      <c r="AA284" s="64"/>
      <c r="AB284" s="64"/>
      <c r="AC284" s="64"/>
      <c r="AD284" s="64"/>
      <c r="AE284" s="134"/>
      <c r="AF284" s="134"/>
      <c r="AG284" s="113"/>
      <c r="BK284" s="107"/>
      <c r="BL284" s="107"/>
      <c r="BM284" s="107"/>
      <c r="BN284" s="107"/>
      <c r="BO284" s="107"/>
    </row>
    <row r="285" spans="2:101">
      <c r="B285" s="7"/>
      <c r="C285" s="7"/>
      <c r="D285" s="7"/>
      <c r="E285" s="7"/>
      <c r="F285" s="7"/>
      <c r="G285" s="7"/>
      <c r="H285" s="7"/>
      <c r="I285" s="7"/>
      <c r="J285" s="7"/>
      <c r="K285" s="7"/>
      <c r="L285" s="7"/>
      <c r="M285" s="7"/>
      <c r="N285" s="7"/>
      <c r="O285" s="7"/>
      <c r="P285" s="7"/>
      <c r="Q285" s="7"/>
      <c r="R285" s="64"/>
      <c r="S285" s="64"/>
      <c r="T285" s="64"/>
      <c r="U285" s="64"/>
      <c r="V285" s="64"/>
      <c r="W285" s="64"/>
      <c r="X285" s="64"/>
      <c r="Y285" s="64"/>
      <c r="Z285" s="64"/>
      <c r="AA285" s="64"/>
      <c r="AB285" s="64"/>
      <c r="AC285" s="64"/>
      <c r="AD285" s="64"/>
      <c r="AE285" s="134"/>
      <c r="AF285" s="134"/>
      <c r="AG285" s="113"/>
      <c r="BK285" s="107"/>
      <c r="BL285" s="107"/>
      <c r="BM285" s="107"/>
      <c r="BN285" s="107"/>
      <c r="BO285" s="107"/>
    </row>
    <row r="286" spans="2:101">
      <c r="B286" s="7"/>
      <c r="C286" s="7"/>
      <c r="D286" s="7"/>
      <c r="E286" s="7"/>
      <c r="F286" s="7"/>
      <c r="G286" s="7"/>
      <c r="H286" s="7"/>
      <c r="I286" s="7"/>
      <c r="J286" s="7"/>
      <c r="K286" s="7"/>
      <c r="L286" s="7"/>
      <c r="M286" s="7"/>
      <c r="N286" s="7"/>
      <c r="O286" s="7"/>
      <c r="P286" s="7"/>
      <c r="Q286" s="7"/>
      <c r="R286" s="64"/>
      <c r="S286" s="64"/>
      <c r="T286" s="64"/>
      <c r="U286" s="64"/>
      <c r="V286" s="64"/>
      <c r="W286" s="64"/>
      <c r="X286" s="64"/>
      <c r="Y286" s="64"/>
      <c r="Z286" s="64"/>
      <c r="AA286" s="64"/>
      <c r="AB286" s="64"/>
      <c r="AC286" s="64"/>
      <c r="AD286" s="64"/>
      <c r="AE286" s="134"/>
      <c r="AF286" s="134"/>
      <c r="AG286" s="113"/>
      <c r="BK286" s="107"/>
      <c r="BL286" s="107"/>
      <c r="BM286" s="107"/>
      <c r="BN286" s="107"/>
      <c r="BO286" s="107"/>
    </row>
    <row r="287" spans="2:101">
      <c r="B287" s="7"/>
      <c r="C287" s="7"/>
      <c r="D287" s="7"/>
      <c r="E287" s="7"/>
      <c r="F287" s="7"/>
      <c r="G287" s="7"/>
      <c r="H287" s="7"/>
      <c r="I287" s="7"/>
      <c r="J287" s="7"/>
      <c r="K287" s="7"/>
      <c r="L287" s="7"/>
      <c r="M287" s="7"/>
      <c r="N287" s="7"/>
      <c r="O287" s="7"/>
      <c r="P287" s="7"/>
      <c r="Q287" s="7"/>
      <c r="R287" s="64"/>
      <c r="S287" s="64"/>
      <c r="T287" s="64"/>
      <c r="U287" s="64"/>
      <c r="V287" s="64"/>
      <c r="W287" s="64"/>
      <c r="X287" s="64"/>
      <c r="Y287" s="64"/>
      <c r="Z287" s="64"/>
      <c r="AA287" s="64"/>
      <c r="AB287" s="64"/>
      <c r="AC287" s="64"/>
      <c r="AD287" s="64"/>
      <c r="AE287" s="134"/>
      <c r="AF287" s="134"/>
      <c r="AG287" s="113"/>
      <c r="BK287" s="107"/>
      <c r="BL287" s="107"/>
      <c r="BM287" s="107"/>
      <c r="BN287" s="107"/>
      <c r="BO287" s="107"/>
    </row>
    <row r="288" spans="2:101">
      <c r="B288" s="7"/>
      <c r="C288" s="7"/>
      <c r="D288" s="7"/>
      <c r="E288" s="7"/>
      <c r="F288" s="7"/>
      <c r="G288" s="7"/>
      <c r="H288" s="7"/>
      <c r="I288" s="7"/>
      <c r="J288" s="7"/>
      <c r="K288" s="7"/>
      <c r="L288" s="7"/>
      <c r="M288" s="7"/>
      <c r="N288" s="7"/>
      <c r="O288" s="7"/>
      <c r="P288" s="7"/>
      <c r="Q288" s="7"/>
      <c r="R288" s="64"/>
      <c r="S288" s="64"/>
      <c r="T288" s="64"/>
      <c r="U288" s="64"/>
      <c r="V288" s="64"/>
      <c r="W288" s="64"/>
      <c r="X288" s="64"/>
      <c r="Y288" s="64"/>
      <c r="Z288" s="64"/>
      <c r="AA288" s="64"/>
      <c r="AB288" s="64"/>
      <c r="AC288" s="64"/>
      <c r="AD288" s="64"/>
      <c r="AE288" s="134"/>
      <c r="AF288" s="134"/>
      <c r="AG288" s="113"/>
      <c r="BK288" s="107"/>
      <c r="BL288" s="107"/>
      <c r="BM288" s="107"/>
      <c r="BN288" s="107"/>
      <c r="BO288" s="107"/>
    </row>
    <row r="289" spans="2:67">
      <c r="B289" s="7"/>
      <c r="C289" s="7"/>
      <c r="D289" s="7"/>
      <c r="E289" s="7"/>
      <c r="F289" s="7"/>
      <c r="G289" s="7"/>
      <c r="H289" s="7"/>
      <c r="I289" s="7"/>
      <c r="J289" s="7"/>
      <c r="K289" s="7"/>
      <c r="L289" s="7"/>
      <c r="M289" s="7"/>
      <c r="N289" s="7"/>
      <c r="O289" s="7"/>
      <c r="P289" s="7"/>
      <c r="Q289" s="7"/>
      <c r="R289" s="64"/>
      <c r="S289" s="64"/>
      <c r="T289" s="64"/>
      <c r="U289" s="64"/>
      <c r="V289" s="64"/>
      <c r="W289" s="64"/>
      <c r="X289" s="64"/>
      <c r="Y289" s="64"/>
      <c r="Z289" s="64"/>
      <c r="AA289" s="64"/>
      <c r="AB289" s="64"/>
      <c r="AC289" s="64"/>
      <c r="AD289" s="64"/>
      <c r="AE289" s="134"/>
      <c r="AF289" s="134"/>
      <c r="AG289" s="113"/>
      <c r="BK289" s="107"/>
      <c r="BL289" s="107"/>
      <c r="BM289" s="107"/>
      <c r="BN289" s="107"/>
      <c r="BO289" s="107"/>
    </row>
    <row r="290" spans="2:67">
      <c r="B290" s="7"/>
      <c r="C290" s="7"/>
      <c r="D290" s="7"/>
      <c r="E290" s="7"/>
      <c r="F290" s="7"/>
      <c r="G290" s="7"/>
      <c r="H290" s="7"/>
      <c r="I290" s="7"/>
      <c r="J290" s="7"/>
      <c r="K290" s="7"/>
      <c r="L290" s="7"/>
      <c r="M290" s="7"/>
      <c r="N290" s="7"/>
      <c r="O290" s="7"/>
      <c r="P290" s="7"/>
      <c r="Q290" s="7"/>
      <c r="R290" s="64"/>
      <c r="S290" s="64"/>
      <c r="T290" s="64"/>
      <c r="U290" s="64"/>
      <c r="V290" s="64"/>
      <c r="W290" s="64"/>
      <c r="X290" s="64"/>
      <c r="Y290" s="64"/>
      <c r="Z290" s="64"/>
      <c r="AA290" s="64"/>
      <c r="AB290" s="64"/>
      <c r="AC290" s="64"/>
      <c r="AD290" s="64"/>
      <c r="AE290" s="134"/>
      <c r="AF290" s="134"/>
      <c r="AG290" s="113"/>
      <c r="BK290" s="107"/>
      <c r="BL290" s="107"/>
      <c r="BM290" s="107"/>
      <c r="BN290" s="107"/>
      <c r="BO290" s="107"/>
    </row>
    <row r="291" spans="2:67">
      <c r="B291" s="7"/>
      <c r="C291" s="7"/>
      <c r="D291" s="7"/>
      <c r="E291" s="7"/>
      <c r="F291" s="7"/>
      <c r="G291" s="7"/>
      <c r="H291" s="7"/>
      <c r="I291" s="7"/>
      <c r="J291" s="7"/>
      <c r="K291" s="7"/>
      <c r="L291" s="7"/>
      <c r="M291" s="7"/>
      <c r="N291" s="7"/>
      <c r="O291" s="7"/>
      <c r="P291" s="7"/>
      <c r="Q291" s="7"/>
      <c r="R291" s="64"/>
      <c r="S291" s="64"/>
      <c r="T291" s="64"/>
      <c r="U291" s="64"/>
      <c r="V291" s="64"/>
      <c r="W291" s="64"/>
      <c r="X291" s="64"/>
      <c r="Y291" s="64"/>
      <c r="Z291" s="64"/>
      <c r="AA291" s="64"/>
      <c r="AB291" s="64"/>
      <c r="AC291" s="64"/>
      <c r="AD291" s="64"/>
      <c r="AE291" s="134"/>
      <c r="AF291" s="134"/>
      <c r="AG291" s="113"/>
      <c r="BK291" s="107"/>
      <c r="BL291" s="107"/>
      <c r="BM291" s="107"/>
      <c r="BN291" s="107"/>
      <c r="BO291" s="107"/>
    </row>
    <row r="292" spans="2:67">
      <c r="B292" s="7"/>
      <c r="C292" s="7"/>
      <c r="D292" s="7"/>
      <c r="E292" s="7"/>
      <c r="F292" s="7"/>
      <c r="G292" s="7"/>
      <c r="H292" s="7"/>
      <c r="I292" s="7"/>
      <c r="J292" s="7"/>
      <c r="K292" s="7"/>
      <c r="L292" s="7"/>
      <c r="M292" s="7"/>
      <c r="N292" s="7"/>
      <c r="O292" s="7"/>
      <c r="P292" s="7"/>
      <c r="Q292" s="7"/>
      <c r="R292" s="64"/>
      <c r="S292" s="64"/>
      <c r="T292" s="64"/>
      <c r="U292" s="64"/>
      <c r="V292" s="64"/>
      <c r="W292" s="64"/>
      <c r="X292" s="64"/>
      <c r="Y292" s="64"/>
      <c r="Z292" s="64"/>
      <c r="AA292" s="64"/>
      <c r="AB292" s="64"/>
      <c r="AC292" s="64"/>
      <c r="AD292" s="64"/>
      <c r="AE292" s="134"/>
      <c r="AF292" s="134"/>
      <c r="AG292" s="113"/>
      <c r="BK292" s="107"/>
      <c r="BL292" s="107"/>
      <c r="BM292" s="107"/>
      <c r="BN292" s="107"/>
      <c r="BO292" s="107"/>
    </row>
    <row r="293" spans="2:67">
      <c r="B293" s="7"/>
      <c r="C293" s="7"/>
      <c r="D293" s="7"/>
      <c r="E293" s="7"/>
      <c r="F293" s="7"/>
      <c r="G293" s="7"/>
      <c r="H293" s="7"/>
      <c r="I293" s="7"/>
      <c r="J293" s="7"/>
      <c r="K293" s="7"/>
      <c r="L293" s="7"/>
      <c r="M293" s="7"/>
      <c r="N293" s="7"/>
      <c r="O293" s="7"/>
      <c r="P293" s="7"/>
      <c r="Q293" s="7"/>
      <c r="R293" s="64"/>
      <c r="S293" s="64"/>
      <c r="T293" s="64"/>
      <c r="U293" s="64"/>
      <c r="V293" s="64"/>
      <c r="W293" s="64"/>
      <c r="X293" s="64"/>
      <c r="Y293" s="64"/>
      <c r="Z293" s="64"/>
      <c r="AA293" s="64"/>
      <c r="AB293" s="64"/>
      <c r="AC293" s="64"/>
      <c r="AD293" s="64"/>
      <c r="AE293" s="134"/>
      <c r="AF293" s="134"/>
      <c r="AG293" s="113"/>
      <c r="BK293" s="107"/>
      <c r="BL293" s="107"/>
      <c r="BM293" s="107"/>
      <c r="BN293" s="107"/>
      <c r="BO293" s="107"/>
    </row>
    <row r="294" spans="2:67">
      <c r="B294" s="7"/>
      <c r="C294" s="7"/>
      <c r="D294" s="7"/>
      <c r="E294" s="7"/>
      <c r="F294" s="7"/>
      <c r="G294" s="7"/>
      <c r="H294" s="7"/>
      <c r="I294" s="7"/>
      <c r="J294" s="7"/>
      <c r="K294" s="7"/>
      <c r="L294" s="7"/>
      <c r="M294" s="7"/>
      <c r="N294" s="7"/>
      <c r="O294" s="7"/>
      <c r="P294" s="7"/>
      <c r="Q294" s="7"/>
      <c r="R294" s="64"/>
      <c r="S294" s="64"/>
      <c r="T294" s="64"/>
      <c r="U294" s="64"/>
      <c r="V294" s="64"/>
      <c r="W294" s="64"/>
      <c r="X294" s="64"/>
      <c r="Y294" s="64"/>
      <c r="Z294" s="64"/>
      <c r="AA294" s="64"/>
      <c r="AB294" s="64"/>
      <c r="AC294" s="64"/>
      <c r="AD294" s="64"/>
      <c r="AE294" s="134"/>
      <c r="AF294" s="134"/>
      <c r="AG294" s="113"/>
      <c r="BK294" s="107"/>
      <c r="BL294" s="107"/>
      <c r="BM294" s="107"/>
      <c r="BN294" s="107"/>
      <c r="BO294" s="107"/>
    </row>
    <row r="295" spans="2:67">
      <c r="B295" s="7"/>
      <c r="C295" s="7"/>
      <c r="D295" s="7"/>
      <c r="E295" s="7"/>
      <c r="F295" s="7"/>
      <c r="G295" s="7"/>
      <c r="H295" s="7"/>
      <c r="I295" s="7"/>
      <c r="J295" s="7"/>
      <c r="K295" s="7"/>
      <c r="L295" s="7"/>
      <c r="M295" s="7"/>
      <c r="N295" s="7"/>
      <c r="O295" s="7"/>
      <c r="P295" s="7"/>
      <c r="Q295" s="7"/>
      <c r="R295" s="64"/>
      <c r="S295" s="64"/>
      <c r="T295" s="64"/>
      <c r="U295" s="64"/>
      <c r="V295" s="64"/>
      <c r="W295" s="64"/>
      <c r="X295" s="64"/>
      <c r="Y295" s="64"/>
      <c r="Z295" s="64"/>
      <c r="AA295" s="64"/>
      <c r="AB295" s="64"/>
      <c r="AC295" s="64"/>
      <c r="AD295" s="64"/>
      <c r="AE295" s="134"/>
      <c r="AF295" s="134"/>
      <c r="AG295" s="113"/>
      <c r="BK295" s="107"/>
      <c r="BL295" s="107"/>
      <c r="BM295" s="107"/>
      <c r="BN295" s="107"/>
      <c r="BO295" s="107"/>
    </row>
    <row r="296" spans="2:67">
      <c r="B296" s="7"/>
      <c r="C296" s="7"/>
      <c r="D296" s="7"/>
      <c r="E296" s="7"/>
      <c r="F296" s="7"/>
      <c r="G296" s="7"/>
      <c r="H296" s="7"/>
      <c r="I296" s="7"/>
      <c r="J296" s="7"/>
      <c r="K296" s="7"/>
      <c r="L296" s="7"/>
      <c r="M296" s="7"/>
      <c r="N296" s="7"/>
      <c r="O296" s="7"/>
      <c r="P296" s="7"/>
      <c r="Q296" s="7"/>
      <c r="R296" s="64"/>
      <c r="S296" s="64"/>
      <c r="T296" s="64"/>
      <c r="U296" s="64"/>
      <c r="V296" s="64"/>
      <c r="W296" s="64"/>
      <c r="X296" s="64"/>
      <c r="Y296" s="64"/>
      <c r="Z296" s="64"/>
      <c r="AA296" s="64"/>
      <c r="AB296" s="64"/>
      <c r="AC296" s="64"/>
      <c r="AD296" s="64"/>
      <c r="AE296" s="134"/>
      <c r="AF296" s="134"/>
      <c r="AG296" s="113"/>
      <c r="BK296" s="107"/>
      <c r="BL296" s="107"/>
      <c r="BM296" s="107"/>
      <c r="BN296" s="107"/>
      <c r="BO296" s="107"/>
    </row>
    <row r="297" spans="2:67">
      <c r="B297" s="7"/>
      <c r="C297" s="7"/>
      <c r="D297" s="7"/>
      <c r="E297" s="7"/>
      <c r="F297" s="7"/>
      <c r="G297" s="7"/>
      <c r="H297" s="7"/>
      <c r="I297" s="7"/>
      <c r="J297" s="7"/>
      <c r="K297" s="7"/>
      <c r="L297" s="7"/>
      <c r="M297" s="7"/>
      <c r="N297" s="7"/>
      <c r="O297" s="7"/>
      <c r="P297" s="7"/>
      <c r="Q297" s="7"/>
      <c r="R297" s="64"/>
      <c r="S297" s="64"/>
      <c r="T297" s="64"/>
      <c r="U297" s="64"/>
      <c r="V297" s="64"/>
      <c r="W297" s="64"/>
      <c r="X297" s="64"/>
      <c r="Y297" s="64"/>
      <c r="Z297" s="64"/>
      <c r="AA297" s="64"/>
      <c r="AB297" s="64"/>
      <c r="AC297" s="64"/>
      <c r="AD297" s="64"/>
      <c r="AE297" s="134"/>
      <c r="AF297" s="134"/>
      <c r="AG297" s="113"/>
      <c r="BK297" s="107"/>
      <c r="BL297" s="107"/>
      <c r="BM297" s="107"/>
      <c r="BN297" s="107"/>
      <c r="BO297" s="107"/>
    </row>
    <row r="298" spans="2:67">
      <c r="B298" s="7"/>
      <c r="C298" s="7"/>
      <c r="D298" s="7"/>
      <c r="E298" s="7"/>
      <c r="F298" s="7"/>
      <c r="G298" s="7"/>
      <c r="H298" s="7"/>
      <c r="I298" s="7"/>
      <c r="J298" s="7"/>
      <c r="K298" s="7"/>
      <c r="L298" s="7"/>
      <c r="M298" s="7"/>
      <c r="N298" s="7"/>
      <c r="O298" s="7"/>
      <c r="P298" s="7"/>
      <c r="Q298" s="7"/>
      <c r="R298" s="64"/>
      <c r="S298" s="64"/>
      <c r="T298" s="64"/>
      <c r="U298" s="64"/>
      <c r="V298" s="64"/>
      <c r="W298" s="64"/>
      <c r="X298" s="64"/>
      <c r="Y298" s="64"/>
      <c r="Z298" s="64"/>
      <c r="AA298" s="64"/>
      <c r="AB298" s="64"/>
      <c r="AC298" s="64"/>
      <c r="AD298" s="64"/>
      <c r="AE298" s="134"/>
      <c r="AF298" s="134"/>
      <c r="AG298" s="113"/>
      <c r="BK298" s="107"/>
      <c r="BL298" s="107"/>
      <c r="BM298" s="107"/>
      <c r="BN298" s="107"/>
      <c r="BO298" s="107"/>
    </row>
    <row r="299" spans="2:67">
      <c r="B299" s="7"/>
      <c r="C299" s="7"/>
      <c r="D299" s="7"/>
      <c r="E299" s="7"/>
      <c r="F299" s="7"/>
      <c r="G299" s="7"/>
      <c r="H299" s="7"/>
      <c r="I299" s="7"/>
      <c r="J299" s="7"/>
      <c r="K299" s="7"/>
      <c r="L299" s="7"/>
      <c r="M299" s="7"/>
      <c r="N299" s="7"/>
      <c r="O299" s="7"/>
      <c r="P299" s="7"/>
      <c r="Q299" s="7"/>
      <c r="R299" s="64"/>
      <c r="S299" s="64"/>
      <c r="T299" s="64"/>
      <c r="U299" s="64"/>
      <c r="V299" s="64"/>
      <c r="W299" s="64"/>
      <c r="X299" s="64"/>
      <c r="Y299" s="64"/>
      <c r="Z299" s="64"/>
      <c r="AA299" s="64"/>
      <c r="AB299" s="64"/>
      <c r="AC299" s="64"/>
      <c r="AD299" s="64"/>
      <c r="AE299" s="134"/>
      <c r="AF299" s="134"/>
      <c r="AG299" s="113"/>
      <c r="BK299" s="107"/>
      <c r="BL299" s="107"/>
      <c r="BM299" s="107"/>
      <c r="BN299" s="107"/>
      <c r="BO299" s="107"/>
    </row>
    <row r="300" spans="2:67">
      <c r="B300" s="7"/>
      <c r="C300" s="7"/>
      <c r="D300" s="7"/>
      <c r="E300" s="7"/>
      <c r="F300" s="7"/>
      <c r="G300" s="7"/>
      <c r="H300" s="7"/>
      <c r="I300" s="7"/>
      <c r="J300" s="7"/>
      <c r="K300" s="7"/>
      <c r="L300" s="7"/>
      <c r="M300" s="7"/>
      <c r="N300" s="7"/>
      <c r="O300" s="7"/>
      <c r="P300" s="7"/>
      <c r="Q300" s="7"/>
      <c r="R300" s="64"/>
      <c r="S300" s="64"/>
      <c r="T300" s="64"/>
      <c r="U300" s="64"/>
      <c r="V300" s="64"/>
      <c r="W300" s="64"/>
      <c r="X300" s="64"/>
      <c r="Y300" s="64"/>
      <c r="Z300" s="64"/>
      <c r="AA300" s="64"/>
      <c r="AB300" s="64"/>
      <c r="AC300" s="64"/>
      <c r="AD300" s="64"/>
      <c r="AE300" s="134"/>
      <c r="AF300" s="134"/>
      <c r="AG300" s="113"/>
      <c r="BK300" s="107"/>
      <c r="BL300" s="107"/>
      <c r="BM300" s="107"/>
      <c r="BN300" s="107"/>
      <c r="BO300" s="107"/>
    </row>
    <row r="301" spans="2:67">
      <c r="B301" s="7"/>
      <c r="C301" s="7"/>
      <c r="D301" s="7"/>
      <c r="E301" s="7"/>
      <c r="F301" s="7"/>
      <c r="G301" s="7"/>
      <c r="H301" s="7"/>
      <c r="I301" s="7"/>
      <c r="J301" s="7"/>
      <c r="K301" s="7"/>
      <c r="L301" s="7"/>
      <c r="M301" s="7"/>
      <c r="N301" s="7"/>
      <c r="O301" s="7"/>
      <c r="P301" s="7"/>
      <c r="Q301" s="7"/>
      <c r="R301" s="64"/>
      <c r="S301" s="64"/>
      <c r="T301" s="64"/>
      <c r="U301" s="64"/>
      <c r="V301" s="64"/>
      <c r="W301" s="64"/>
      <c r="X301" s="64"/>
      <c r="Y301" s="64"/>
      <c r="Z301" s="64"/>
      <c r="AA301" s="64"/>
      <c r="AB301" s="64"/>
      <c r="AC301" s="64"/>
      <c r="AD301" s="64"/>
      <c r="AE301" s="134"/>
      <c r="AF301" s="134"/>
      <c r="AG301" s="113"/>
      <c r="BK301" s="107"/>
      <c r="BL301" s="107"/>
      <c r="BM301" s="107"/>
      <c r="BN301" s="107"/>
      <c r="BO301" s="107"/>
    </row>
    <row r="302" spans="2:67">
      <c r="B302" s="7"/>
      <c r="C302" s="7"/>
      <c r="D302" s="7"/>
      <c r="E302" s="7"/>
      <c r="F302" s="7"/>
      <c r="G302" s="7"/>
      <c r="H302" s="7"/>
      <c r="I302" s="7"/>
      <c r="J302" s="7"/>
      <c r="K302" s="7"/>
      <c r="L302" s="7"/>
      <c r="M302" s="7"/>
      <c r="N302" s="7"/>
      <c r="O302" s="7"/>
      <c r="P302" s="7"/>
      <c r="Q302" s="7"/>
      <c r="R302" s="64"/>
      <c r="S302" s="64"/>
      <c r="T302" s="64"/>
      <c r="U302" s="64"/>
      <c r="V302" s="64"/>
      <c r="W302" s="64"/>
      <c r="X302" s="64"/>
      <c r="Y302" s="64"/>
      <c r="Z302" s="64"/>
      <c r="AA302" s="64"/>
      <c r="AB302" s="64"/>
      <c r="AC302" s="64"/>
      <c r="AD302" s="64"/>
      <c r="AE302" s="134"/>
      <c r="AF302" s="134"/>
      <c r="AG302" s="113"/>
      <c r="BK302" s="107"/>
      <c r="BL302" s="107"/>
      <c r="BM302" s="107"/>
      <c r="BN302" s="107"/>
      <c r="BO302" s="107"/>
    </row>
    <row r="303" spans="2:67">
      <c r="B303" s="7"/>
      <c r="C303" s="7"/>
      <c r="D303" s="7"/>
      <c r="E303" s="7"/>
      <c r="F303" s="7"/>
      <c r="G303" s="7"/>
      <c r="H303" s="7"/>
      <c r="I303" s="7"/>
      <c r="J303" s="7"/>
      <c r="K303" s="7"/>
      <c r="L303" s="7"/>
      <c r="M303" s="7"/>
      <c r="N303" s="7"/>
      <c r="O303" s="7"/>
      <c r="P303" s="7"/>
      <c r="Q303" s="7"/>
      <c r="R303" s="64"/>
      <c r="S303" s="64"/>
      <c r="T303" s="64"/>
      <c r="U303" s="64"/>
      <c r="V303" s="64"/>
      <c r="W303" s="64"/>
      <c r="X303" s="64"/>
      <c r="Y303" s="64"/>
      <c r="Z303" s="64"/>
      <c r="AA303" s="64"/>
      <c r="AB303" s="64"/>
      <c r="AC303" s="64"/>
      <c r="AD303" s="64"/>
      <c r="AE303" s="134"/>
      <c r="AF303" s="134"/>
      <c r="AG303" s="113"/>
      <c r="BK303" s="107"/>
      <c r="BL303" s="107"/>
      <c r="BM303" s="107"/>
      <c r="BN303" s="107"/>
      <c r="BO303" s="107"/>
    </row>
    <row r="304" spans="2:67">
      <c r="B304" s="7"/>
      <c r="C304" s="7"/>
      <c r="D304" s="7"/>
      <c r="E304" s="7"/>
      <c r="F304" s="7"/>
      <c r="G304" s="7"/>
      <c r="H304" s="7"/>
      <c r="I304" s="7"/>
      <c r="J304" s="7"/>
      <c r="K304" s="7"/>
      <c r="L304" s="7"/>
      <c r="M304" s="7"/>
      <c r="N304" s="7"/>
      <c r="O304" s="7"/>
      <c r="P304" s="7"/>
      <c r="Q304" s="7"/>
      <c r="R304" s="64"/>
      <c r="S304" s="64"/>
      <c r="T304" s="64"/>
      <c r="U304" s="64"/>
      <c r="V304" s="64"/>
      <c r="W304" s="64"/>
      <c r="X304" s="64"/>
      <c r="Y304" s="64"/>
      <c r="Z304" s="64"/>
      <c r="AA304" s="64"/>
      <c r="AB304" s="64"/>
      <c r="AC304" s="64"/>
      <c r="AD304" s="64"/>
      <c r="AE304" s="134"/>
      <c r="AF304" s="134"/>
      <c r="AG304" s="113"/>
      <c r="BK304" s="107"/>
      <c r="BL304" s="107"/>
      <c r="BM304" s="107"/>
      <c r="BN304" s="107"/>
      <c r="BO304" s="107"/>
    </row>
    <row r="305" spans="2:67">
      <c r="B305" s="7"/>
      <c r="C305" s="7"/>
      <c r="D305" s="7"/>
      <c r="E305" s="7"/>
      <c r="F305" s="7"/>
      <c r="G305" s="7"/>
      <c r="H305" s="7"/>
      <c r="I305" s="7"/>
      <c r="J305" s="7"/>
      <c r="K305" s="7"/>
      <c r="L305" s="7"/>
      <c r="M305" s="7"/>
      <c r="N305" s="7"/>
      <c r="O305" s="7"/>
      <c r="P305" s="7"/>
      <c r="Q305" s="7"/>
      <c r="R305" s="64"/>
      <c r="S305" s="64"/>
      <c r="T305" s="64"/>
      <c r="U305" s="64"/>
      <c r="V305" s="64"/>
      <c r="W305" s="64"/>
      <c r="X305" s="64"/>
      <c r="Y305" s="64"/>
      <c r="Z305" s="64"/>
      <c r="AA305" s="64"/>
      <c r="AB305" s="64"/>
      <c r="AC305" s="64"/>
      <c r="AD305" s="64"/>
      <c r="AE305" s="134"/>
      <c r="AF305" s="134"/>
      <c r="AG305" s="113"/>
      <c r="BK305" s="107"/>
      <c r="BL305" s="107"/>
      <c r="BM305" s="107"/>
      <c r="BN305" s="107"/>
      <c r="BO305" s="107"/>
    </row>
    <row r="306" spans="2:67">
      <c r="B306" s="7"/>
      <c r="C306" s="7"/>
      <c r="D306" s="7"/>
      <c r="E306" s="7"/>
      <c r="F306" s="7"/>
      <c r="G306" s="7"/>
      <c r="H306" s="7"/>
      <c r="I306" s="7"/>
      <c r="J306" s="7"/>
      <c r="K306" s="7"/>
      <c r="L306" s="7"/>
      <c r="M306" s="7"/>
      <c r="N306" s="7"/>
      <c r="O306" s="7"/>
      <c r="P306" s="7"/>
      <c r="Q306" s="7"/>
      <c r="R306" s="64"/>
      <c r="S306" s="64"/>
      <c r="T306" s="64"/>
      <c r="U306" s="64"/>
      <c r="V306" s="64"/>
      <c r="W306" s="64"/>
      <c r="X306" s="64"/>
      <c r="Y306" s="64"/>
      <c r="Z306" s="64"/>
      <c r="AA306" s="64"/>
      <c r="AB306" s="64"/>
      <c r="AC306" s="64"/>
      <c r="AD306" s="64"/>
      <c r="AE306" s="134"/>
      <c r="AF306" s="134"/>
      <c r="AG306" s="113"/>
      <c r="BK306" s="107"/>
      <c r="BL306" s="107"/>
      <c r="BM306" s="107"/>
      <c r="BN306" s="107"/>
      <c r="BO306" s="107"/>
    </row>
    <row r="307" spans="2:67">
      <c r="B307" s="7"/>
      <c r="C307" s="7"/>
      <c r="D307" s="7"/>
      <c r="E307" s="7"/>
      <c r="F307" s="7"/>
      <c r="G307" s="7"/>
      <c r="H307" s="7"/>
      <c r="I307" s="7"/>
      <c r="J307" s="7"/>
      <c r="K307" s="7"/>
      <c r="L307" s="7"/>
      <c r="M307" s="7"/>
      <c r="N307" s="7"/>
      <c r="O307" s="7"/>
      <c r="P307" s="7"/>
      <c r="Q307" s="7"/>
      <c r="R307" s="64"/>
      <c r="S307" s="64"/>
      <c r="T307" s="64"/>
      <c r="U307" s="64"/>
      <c r="V307" s="64"/>
      <c r="W307" s="64"/>
      <c r="X307" s="64"/>
      <c r="Y307" s="64"/>
      <c r="Z307" s="64"/>
      <c r="AA307" s="64"/>
      <c r="AB307" s="64"/>
      <c r="AC307" s="64"/>
      <c r="AD307" s="64"/>
      <c r="AE307" s="134"/>
      <c r="AF307" s="134"/>
      <c r="AG307" s="113"/>
      <c r="AO307" s="108"/>
      <c r="BK307" s="107"/>
      <c r="BL307" s="107"/>
      <c r="BM307" s="107"/>
      <c r="BN307" s="107"/>
      <c r="BO307" s="107"/>
    </row>
    <row r="308" spans="2:67">
      <c r="B308" s="7"/>
      <c r="C308" s="7"/>
      <c r="D308" s="7"/>
      <c r="E308" s="7"/>
      <c r="F308" s="7"/>
      <c r="G308" s="7"/>
      <c r="H308" s="7"/>
      <c r="I308" s="7"/>
      <c r="J308" s="7"/>
      <c r="K308" s="7"/>
      <c r="L308" s="7"/>
      <c r="M308" s="7"/>
      <c r="N308" s="7"/>
      <c r="O308" s="7"/>
      <c r="P308" s="7"/>
      <c r="Q308" s="7"/>
      <c r="R308" s="64"/>
      <c r="S308" s="64"/>
      <c r="T308" s="64"/>
      <c r="U308" s="64"/>
      <c r="V308" s="64"/>
      <c r="W308" s="64"/>
      <c r="X308" s="64"/>
      <c r="Y308" s="64"/>
      <c r="Z308" s="64"/>
      <c r="AA308" s="64"/>
      <c r="AB308" s="64"/>
      <c r="AC308" s="64"/>
      <c r="AD308" s="64"/>
      <c r="AE308" s="134"/>
      <c r="AF308" s="134"/>
      <c r="AG308" s="113"/>
      <c r="BK308" s="107"/>
      <c r="BL308" s="107"/>
      <c r="BM308" s="107"/>
      <c r="BN308" s="107"/>
      <c r="BO308" s="107"/>
    </row>
    <row r="309" spans="2:67">
      <c r="B309" s="7"/>
      <c r="C309" s="7"/>
      <c r="D309" s="7"/>
      <c r="E309" s="7"/>
      <c r="F309" s="7"/>
      <c r="G309" s="7"/>
      <c r="H309" s="7"/>
      <c r="I309" s="7"/>
      <c r="J309" s="7"/>
      <c r="K309" s="7"/>
      <c r="L309" s="7"/>
      <c r="M309" s="7"/>
      <c r="N309" s="7"/>
      <c r="O309" s="7"/>
      <c r="P309" s="7"/>
      <c r="Q309" s="7"/>
      <c r="R309" s="64"/>
      <c r="S309" s="64"/>
      <c r="T309" s="64"/>
      <c r="U309" s="64"/>
      <c r="V309" s="64"/>
      <c r="W309" s="64"/>
      <c r="X309" s="64"/>
      <c r="Y309" s="64"/>
      <c r="Z309" s="64"/>
      <c r="AA309" s="64"/>
      <c r="AB309" s="64"/>
      <c r="AC309" s="64"/>
      <c r="AD309" s="64"/>
      <c r="AE309" s="134"/>
      <c r="AF309" s="134"/>
      <c r="AG309" s="113"/>
      <c r="BK309" s="107"/>
      <c r="BL309" s="107"/>
      <c r="BM309" s="107"/>
      <c r="BN309" s="107"/>
      <c r="BO309" s="107"/>
    </row>
    <row r="310" spans="2:67">
      <c r="B310" s="7"/>
      <c r="C310" s="7"/>
      <c r="D310" s="7"/>
      <c r="E310" s="7"/>
      <c r="F310" s="7"/>
      <c r="G310" s="7"/>
      <c r="H310" s="7"/>
      <c r="I310" s="7"/>
      <c r="J310" s="7"/>
      <c r="K310" s="7"/>
      <c r="L310" s="7"/>
      <c r="M310" s="7"/>
      <c r="N310" s="7"/>
      <c r="O310" s="7"/>
      <c r="P310" s="7"/>
      <c r="Q310" s="7"/>
      <c r="R310" s="64"/>
      <c r="S310" s="64"/>
      <c r="T310" s="64"/>
      <c r="U310" s="64"/>
      <c r="V310" s="64"/>
      <c r="W310" s="64"/>
      <c r="X310" s="64"/>
      <c r="Y310" s="64"/>
      <c r="Z310" s="64"/>
      <c r="AA310" s="64"/>
      <c r="AB310" s="64"/>
      <c r="AC310" s="64"/>
      <c r="AD310" s="64"/>
      <c r="AE310" s="134"/>
      <c r="AF310" s="134"/>
      <c r="AG310" s="113"/>
      <c r="BK310" s="107"/>
      <c r="BL310" s="107"/>
      <c r="BM310" s="107"/>
      <c r="BN310" s="107"/>
      <c r="BO310" s="107"/>
    </row>
    <row r="311" spans="2:67">
      <c r="B311" s="7"/>
      <c r="C311" s="7"/>
      <c r="D311" s="7"/>
      <c r="E311" s="7"/>
      <c r="F311" s="7"/>
      <c r="G311" s="7"/>
      <c r="H311" s="7"/>
      <c r="I311" s="7"/>
      <c r="J311" s="7"/>
      <c r="K311" s="7"/>
      <c r="L311" s="7"/>
      <c r="M311" s="7"/>
      <c r="N311" s="7"/>
      <c r="O311" s="7"/>
      <c r="P311" s="7"/>
      <c r="Q311" s="7"/>
      <c r="R311" s="64"/>
      <c r="S311" s="64"/>
      <c r="T311" s="64"/>
      <c r="U311" s="64"/>
      <c r="V311" s="64"/>
      <c r="W311" s="64"/>
      <c r="X311" s="64"/>
      <c r="Y311" s="64"/>
      <c r="Z311" s="64"/>
      <c r="AA311" s="64"/>
      <c r="AB311" s="64"/>
      <c r="AC311" s="64"/>
      <c r="AD311" s="64"/>
      <c r="AE311" s="134"/>
      <c r="AF311" s="134"/>
      <c r="AG311" s="113"/>
      <c r="BK311" s="107"/>
      <c r="BL311" s="107"/>
      <c r="BM311" s="107"/>
      <c r="BN311" s="107"/>
      <c r="BO311" s="107"/>
    </row>
    <row r="312" spans="2:67">
      <c r="B312" s="7"/>
      <c r="C312" s="7"/>
      <c r="D312" s="7"/>
      <c r="E312" s="7"/>
      <c r="F312" s="7"/>
      <c r="G312" s="7"/>
      <c r="H312" s="7"/>
      <c r="I312" s="7"/>
      <c r="J312" s="7"/>
      <c r="K312" s="7"/>
      <c r="L312" s="7"/>
      <c r="M312" s="7"/>
      <c r="N312" s="7"/>
      <c r="O312" s="7"/>
      <c r="P312" s="7"/>
      <c r="Q312" s="7"/>
      <c r="R312" s="64"/>
      <c r="S312" s="64"/>
      <c r="T312" s="64"/>
      <c r="U312" s="64"/>
      <c r="V312" s="64"/>
      <c r="W312" s="64"/>
      <c r="X312" s="64"/>
      <c r="Y312" s="64"/>
      <c r="Z312" s="64"/>
      <c r="AA312" s="64"/>
      <c r="AB312" s="64"/>
      <c r="AC312" s="64"/>
      <c r="AD312" s="64"/>
      <c r="AE312" s="134"/>
      <c r="AF312" s="134"/>
      <c r="AG312" s="113"/>
      <c r="BK312" s="107"/>
      <c r="BL312" s="107"/>
      <c r="BM312" s="107"/>
      <c r="BN312" s="107"/>
      <c r="BO312" s="107"/>
    </row>
    <row r="313" spans="2:67">
      <c r="B313" s="7"/>
      <c r="C313" s="7"/>
      <c r="D313" s="7"/>
      <c r="E313" s="7"/>
      <c r="F313" s="7"/>
      <c r="G313" s="7"/>
      <c r="H313" s="7"/>
      <c r="I313" s="7"/>
      <c r="J313" s="7"/>
      <c r="K313" s="7"/>
      <c r="L313" s="7"/>
      <c r="M313" s="7"/>
      <c r="N313" s="7"/>
      <c r="O313" s="7"/>
      <c r="P313" s="7"/>
      <c r="Q313" s="7"/>
      <c r="R313" s="64"/>
      <c r="S313" s="64"/>
      <c r="T313" s="64"/>
      <c r="U313" s="64"/>
      <c r="V313" s="64"/>
      <c r="W313" s="64"/>
      <c r="X313" s="64"/>
      <c r="Y313" s="64"/>
      <c r="Z313" s="64"/>
      <c r="AA313" s="64"/>
      <c r="AB313" s="64"/>
      <c r="AC313" s="64"/>
      <c r="AD313" s="64"/>
      <c r="AE313" s="134"/>
      <c r="AF313" s="134"/>
      <c r="AG313" s="113"/>
      <c r="BK313" s="107"/>
      <c r="BL313" s="107"/>
      <c r="BM313" s="107"/>
      <c r="BN313" s="107"/>
      <c r="BO313" s="107"/>
    </row>
    <row r="314" spans="2:67">
      <c r="B314" s="7"/>
      <c r="C314" s="7"/>
      <c r="D314" s="7"/>
      <c r="E314" s="7"/>
      <c r="F314" s="7"/>
      <c r="G314" s="7"/>
      <c r="H314" s="7"/>
      <c r="I314" s="7"/>
      <c r="J314" s="7"/>
      <c r="K314" s="7"/>
      <c r="L314" s="7"/>
      <c r="M314" s="7"/>
      <c r="N314" s="7"/>
      <c r="O314" s="7"/>
      <c r="P314" s="7"/>
      <c r="Q314" s="7"/>
      <c r="R314" s="64"/>
      <c r="S314" s="64"/>
      <c r="T314" s="64"/>
      <c r="U314" s="64"/>
      <c r="V314" s="64"/>
      <c r="W314" s="64"/>
      <c r="X314" s="64"/>
      <c r="Y314" s="64"/>
      <c r="Z314" s="64"/>
      <c r="AA314" s="64"/>
      <c r="AB314" s="64"/>
      <c r="AC314" s="64"/>
      <c r="AD314" s="64"/>
      <c r="AE314" s="134"/>
      <c r="AF314" s="134"/>
      <c r="AG314" s="113"/>
      <c r="BK314" s="107"/>
      <c r="BL314" s="107"/>
      <c r="BM314" s="107"/>
      <c r="BN314" s="107"/>
      <c r="BO314" s="107"/>
    </row>
    <row r="315" spans="2:67">
      <c r="B315" s="7"/>
      <c r="C315" s="7"/>
      <c r="D315" s="7"/>
      <c r="E315" s="7"/>
      <c r="F315" s="7"/>
      <c r="G315" s="7"/>
      <c r="H315" s="7"/>
      <c r="I315" s="7"/>
      <c r="J315" s="7"/>
      <c r="K315" s="7"/>
      <c r="L315" s="7"/>
      <c r="M315" s="7"/>
      <c r="N315" s="7"/>
      <c r="O315" s="7"/>
      <c r="P315" s="7"/>
      <c r="Q315" s="7"/>
      <c r="R315" s="64"/>
      <c r="S315" s="64"/>
      <c r="T315" s="64"/>
      <c r="U315" s="64"/>
      <c r="V315" s="64"/>
      <c r="W315" s="64"/>
      <c r="X315" s="64"/>
      <c r="Y315" s="64"/>
      <c r="Z315" s="64"/>
      <c r="AA315" s="64"/>
      <c r="AB315" s="64"/>
      <c r="AC315" s="64"/>
      <c r="AD315" s="64"/>
      <c r="AE315" s="134"/>
      <c r="AF315" s="134"/>
      <c r="AG315" s="113"/>
      <c r="BK315" s="107"/>
      <c r="BL315" s="107"/>
      <c r="BM315" s="107"/>
      <c r="BN315" s="107"/>
      <c r="BO315" s="107"/>
    </row>
    <row r="316" spans="2:67">
      <c r="B316" s="7"/>
      <c r="C316" s="7"/>
      <c r="D316" s="7"/>
      <c r="E316" s="7"/>
      <c r="F316" s="7"/>
      <c r="G316" s="7"/>
      <c r="H316" s="7"/>
      <c r="I316" s="7"/>
      <c r="J316" s="7"/>
      <c r="K316" s="7"/>
      <c r="L316" s="7"/>
      <c r="M316" s="7"/>
      <c r="N316" s="7"/>
      <c r="O316" s="7"/>
      <c r="P316" s="7"/>
      <c r="Q316" s="7"/>
      <c r="R316" s="64"/>
      <c r="S316" s="64"/>
      <c r="T316" s="64"/>
      <c r="U316" s="64"/>
      <c r="V316" s="64"/>
      <c r="W316" s="64"/>
      <c r="X316" s="64"/>
      <c r="Y316" s="64"/>
      <c r="Z316" s="64"/>
      <c r="AA316" s="64"/>
      <c r="AB316" s="64"/>
      <c r="AC316" s="64"/>
      <c r="AD316" s="64"/>
      <c r="AE316" s="134"/>
      <c r="AF316" s="134"/>
      <c r="AG316" s="113"/>
      <c r="BK316" s="107"/>
      <c r="BL316" s="107"/>
      <c r="BM316" s="107"/>
      <c r="BN316" s="107"/>
      <c r="BO316" s="107"/>
    </row>
    <row r="317" spans="2:67">
      <c r="B317" s="7"/>
      <c r="C317" s="7"/>
      <c r="D317" s="7"/>
      <c r="E317" s="7"/>
      <c r="F317" s="7"/>
      <c r="G317" s="7"/>
      <c r="H317" s="7"/>
      <c r="I317" s="7"/>
      <c r="J317" s="7"/>
      <c r="K317" s="7"/>
      <c r="L317" s="7"/>
      <c r="M317" s="7"/>
      <c r="N317" s="7"/>
      <c r="O317" s="7"/>
      <c r="P317" s="7"/>
      <c r="Q317" s="7"/>
      <c r="R317" s="64"/>
      <c r="S317" s="64"/>
      <c r="T317" s="64"/>
      <c r="U317" s="64"/>
      <c r="V317" s="64"/>
      <c r="W317" s="64"/>
      <c r="X317" s="64"/>
      <c r="Y317" s="64"/>
      <c r="Z317" s="64"/>
      <c r="AA317" s="64"/>
      <c r="AB317" s="64"/>
      <c r="AC317" s="64"/>
      <c r="AD317" s="64"/>
      <c r="AE317" s="134"/>
      <c r="AF317" s="134"/>
      <c r="AG317" s="113"/>
      <c r="BK317" s="107"/>
      <c r="BL317" s="107"/>
      <c r="BM317" s="107"/>
      <c r="BN317" s="107"/>
      <c r="BO317" s="107"/>
    </row>
    <row r="318" spans="2:67">
      <c r="B318" s="7"/>
      <c r="C318" s="7"/>
      <c r="D318" s="7"/>
      <c r="E318" s="7"/>
      <c r="F318" s="7"/>
      <c r="G318" s="7"/>
      <c r="H318" s="7"/>
      <c r="I318" s="7"/>
      <c r="J318" s="7"/>
      <c r="K318" s="7"/>
      <c r="L318" s="7"/>
      <c r="M318" s="7"/>
      <c r="N318" s="7"/>
      <c r="O318" s="7"/>
      <c r="P318" s="7"/>
      <c r="Q318" s="7"/>
      <c r="R318" s="64"/>
      <c r="S318" s="64"/>
      <c r="T318" s="64"/>
      <c r="U318" s="64"/>
      <c r="V318" s="64"/>
      <c r="W318" s="64"/>
      <c r="X318" s="64"/>
      <c r="Y318" s="64"/>
      <c r="Z318" s="64"/>
      <c r="AA318" s="64"/>
      <c r="AB318" s="64"/>
      <c r="AC318" s="64"/>
      <c r="AD318" s="64"/>
      <c r="AE318" s="134"/>
      <c r="AF318" s="134"/>
      <c r="AG318" s="113"/>
      <c r="BK318" s="107"/>
      <c r="BL318" s="107"/>
      <c r="BM318" s="107"/>
      <c r="BN318" s="107"/>
      <c r="BO318" s="107"/>
    </row>
    <row r="319" spans="2:67">
      <c r="B319" s="7"/>
      <c r="C319" s="7"/>
      <c r="D319" s="7"/>
      <c r="E319" s="7"/>
      <c r="F319" s="7"/>
      <c r="G319" s="7"/>
      <c r="H319" s="7"/>
      <c r="I319" s="7"/>
      <c r="J319" s="7"/>
      <c r="K319" s="7"/>
      <c r="L319" s="7"/>
      <c r="M319" s="7"/>
      <c r="N319" s="7"/>
      <c r="O319" s="7"/>
      <c r="P319" s="7"/>
      <c r="Q319" s="7"/>
      <c r="R319" s="64"/>
      <c r="S319" s="64"/>
      <c r="T319" s="64"/>
      <c r="U319" s="64"/>
      <c r="V319" s="64"/>
      <c r="W319" s="64"/>
      <c r="X319" s="64"/>
      <c r="Y319" s="64"/>
      <c r="Z319" s="64"/>
      <c r="AA319" s="64"/>
      <c r="AB319" s="64"/>
      <c r="AC319" s="64"/>
      <c r="AD319" s="64"/>
      <c r="AE319" s="134"/>
      <c r="AF319" s="134"/>
      <c r="AG319" s="113"/>
      <c r="BK319" s="107"/>
      <c r="BL319" s="107"/>
      <c r="BM319" s="107"/>
      <c r="BN319" s="107"/>
      <c r="BO319" s="107"/>
    </row>
    <row r="320" spans="2:67">
      <c r="B320" s="7"/>
      <c r="C320" s="7"/>
      <c r="D320" s="7"/>
      <c r="E320" s="7"/>
      <c r="F320" s="7"/>
      <c r="G320" s="7"/>
      <c r="H320" s="7"/>
      <c r="I320" s="7"/>
      <c r="J320" s="7"/>
      <c r="K320" s="7"/>
      <c r="L320" s="7"/>
      <c r="M320" s="7"/>
      <c r="N320" s="7"/>
      <c r="O320" s="7"/>
      <c r="P320" s="7"/>
      <c r="Q320" s="7"/>
      <c r="R320" s="64"/>
      <c r="S320" s="64"/>
      <c r="T320" s="64"/>
      <c r="U320" s="64"/>
      <c r="V320" s="64"/>
      <c r="W320" s="64"/>
      <c r="X320" s="64"/>
      <c r="Y320" s="64"/>
      <c r="Z320" s="64"/>
      <c r="AA320" s="64"/>
      <c r="AB320" s="64"/>
      <c r="AC320" s="64"/>
      <c r="AD320" s="64"/>
      <c r="AE320" s="134"/>
      <c r="AF320" s="134"/>
      <c r="AG320" s="113"/>
      <c r="BK320" s="107"/>
      <c r="BL320" s="107"/>
      <c r="BM320" s="107"/>
      <c r="BN320" s="107"/>
      <c r="BO320" s="107"/>
    </row>
    <row r="321" spans="2:67">
      <c r="B321" s="7"/>
      <c r="C321" s="7"/>
      <c r="D321" s="7"/>
      <c r="E321" s="7"/>
      <c r="F321" s="7"/>
      <c r="G321" s="7"/>
      <c r="H321" s="7"/>
      <c r="I321" s="7"/>
      <c r="J321" s="7"/>
      <c r="K321" s="7"/>
      <c r="L321" s="7"/>
      <c r="M321" s="7"/>
      <c r="N321" s="7"/>
      <c r="O321" s="7"/>
      <c r="P321" s="7"/>
      <c r="Q321" s="7"/>
      <c r="R321" s="64"/>
      <c r="S321" s="64"/>
      <c r="T321" s="64"/>
      <c r="U321" s="64"/>
      <c r="V321" s="64"/>
      <c r="W321" s="64"/>
      <c r="X321" s="64"/>
      <c r="Y321" s="64"/>
      <c r="Z321" s="64"/>
      <c r="AA321" s="64"/>
      <c r="AB321" s="64"/>
      <c r="AC321" s="64"/>
      <c r="AD321" s="64"/>
      <c r="AE321" s="134"/>
      <c r="AF321" s="134"/>
      <c r="AG321" s="113"/>
      <c r="BK321" s="107"/>
      <c r="BL321" s="107"/>
      <c r="BM321" s="107"/>
      <c r="BN321" s="107"/>
      <c r="BO321" s="107"/>
    </row>
    <row r="322" spans="2:67">
      <c r="B322" s="7"/>
      <c r="C322" s="7"/>
      <c r="D322" s="7"/>
      <c r="E322" s="7"/>
      <c r="F322" s="7"/>
      <c r="G322" s="7"/>
      <c r="H322" s="7"/>
      <c r="I322" s="7"/>
      <c r="J322" s="7"/>
      <c r="K322" s="7"/>
      <c r="L322" s="7"/>
      <c r="M322" s="7"/>
      <c r="N322" s="7"/>
      <c r="O322" s="7"/>
      <c r="P322" s="7"/>
      <c r="Q322" s="7"/>
      <c r="R322" s="64"/>
      <c r="S322" s="64"/>
      <c r="T322" s="64"/>
      <c r="U322" s="64"/>
      <c r="V322" s="64"/>
      <c r="W322" s="64"/>
      <c r="X322" s="64"/>
      <c r="Y322" s="64"/>
      <c r="Z322" s="64"/>
      <c r="AA322" s="64"/>
      <c r="AB322" s="64"/>
      <c r="AC322" s="64"/>
      <c r="AD322" s="64"/>
      <c r="AE322" s="134"/>
      <c r="AF322" s="134"/>
      <c r="AG322" s="113"/>
      <c r="BK322" s="107"/>
      <c r="BL322" s="107"/>
      <c r="BM322" s="107"/>
      <c r="BN322" s="107"/>
      <c r="BO322" s="107"/>
    </row>
    <row r="323" spans="2:67">
      <c r="B323" s="7"/>
      <c r="C323" s="7"/>
      <c r="D323" s="7"/>
      <c r="E323" s="7"/>
      <c r="F323" s="7"/>
      <c r="G323" s="7"/>
      <c r="H323" s="7"/>
      <c r="I323" s="7"/>
      <c r="J323" s="7"/>
      <c r="K323" s="7"/>
      <c r="L323" s="7"/>
      <c r="M323" s="7"/>
      <c r="N323" s="7"/>
      <c r="O323" s="7"/>
      <c r="P323" s="7"/>
      <c r="Q323" s="7"/>
      <c r="R323" s="64"/>
      <c r="S323" s="64"/>
      <c r="T323" s="64"/>
      <c r="U323" s="64"/>
      <c r="V323" s="64"/>
      <c r="W323" s="64"/>
      <c r="X323" s="64"/>
      <c r="Y323" s="64"/>
      <c r="Z323" s="64"/>
      <c r="AA323" s="64"/>
      <c r="AB323" s="64"/>
      <c r="AC323" s="64"/>
      <c r="AD323" s="64"/>
      <c r="AE323" s="134"/>
      <c r="AF323" s="134"/>
      <c r="AG323" s="113"/>
      <c r="BK323" s="107"/>
      <c r="BL323" s="107"/>
      <c r="BM323" s="107"/>
      <c r="BN323" s="107"/>
      <c r="BO323" s="107"/>
    </row>
    <row r="324" spans="2:67">
      <c r="B324" s="7"/>
      <c r="C324" s="7"/>
      <c r="D324" s="7"/>
      <c r="E324" s="7"/>
      <c r="F324" s="7"/>
      <c r="G324" s="7"/>
      <c r="H324" s="7"/>
      <c r="I324" s="7"/>
      <c r="J324" s="7"/>
      <c r="K324" s="7"/>
      <c r="L324" s="7"/>
      <c r="M324" s="7"/>
      <c r="N324" s="7"/>
      <c r="O324" s="7"/>
      <c r="P324" s="7"/>
      <c r="Q324" s="7"/>
      <c r="R324" s="64"/>
      <c r="S324" s="64"/>
      <c r="T324" s="64"/>
      <c r="U324" s="64"/>
      <c r="V324" s="64"/>
      <c r="W324" s="64"/>
      <c r="X324" s="64"/>
      <c r="Y324" s="64"/>
      <c r="Z324" s="64"/>
      <c r="AA324" s="64"/>
      <c r="AB324" s="64"/>
      <c r="AC324" s="64"/>
      <c r="AD324" s="64"/>
      <c r="AE324" s="134"/>
      <c r="AF324" s="134"/>
      <c r="AG324" s="113"/>
      <c r="BK324" s="107"/>
      <c r="BL324" s="107"/>
      <c r="BM324" s="107"/>
      <c r="BN324" s="107"/>
      <c r="BO324" s="107"/>
    </row>
    <row r="325" spans="2:67">
      <c r="B325" s="7"/>
      <c r="C325" s="7"/>
      <c r="D325" s="7"/>
      <c r="E325" s="7"/>
      <c r="F325" s="7"/>
      <c r="G325" s="7"/>
      <c r="H325" s="7"/>
      <c r="I325" s="7"/>
      <c r="J325" s="7"/>
      <c r="K325" s="7"/>
      <c r="L325" s="7"/>
      <c r="M325" s="7"/>
      <c r="N325" s="7"/>
      <c r="O325" s="7"/>
      <c r="P325" s="7"/>
      <c r="Q325" s="7"/>
      <c r="R325" s="64"/>
      <c r="S325" s="64"/>
      <c r="T325" s="64"/>
      <c r="U325" s="64"/>
      <c r="V325" s="64"/>
      <c r="W325" s="64"/>
      <c r="X325" s="64"/>
      <c r="Y325" s="64"/>
      <c r="Z325" s="64"/>
      <c r="AA325" s="64"/>
      <c r="AB325" s="64"/>
      <c r="AC325" s="64"/>
      <c r="AD325" s="64"/>
      <c r="AE325" s="134"/>
      <c r="AF325" s="134"/>
      <c r="AG325" s="113"/>
      <c r="BK325" s="107"/>
      <c r="BL325" s="107"/>
      <c r="BM325" s="107"/>
      <c r="BN325" s="107"/>
      <c r="BO325" s="107"/>
    </row>
    <row r="326" spans="2:67">
      <c r="B326" s="7"/>
      <c r="C326" s="7"/>
      <c r="D326" s="7"/>
      <c r="E326" s="7"/>
      <c r="F326" s="7"/>
      <c r="G326" s="7"/>
      <c r="H326" s="7"/>
      <c r="I326" s="7"/>
      <c r="J326" s="7"/>
      <c r="K326" s="7"/>
      <c r="L326" s="7"/>
      <c r="M326" s="7"/>
      <c r="N326" s="7"/>
      <c r="O326" s="7"/>
      <c r="P326" s="7"/>
      <c r="Q326" s="7"/>
      <c r="R326" s="64"/>
      <c r="S326" s="64"/>
      <c r="T326" s="64"/>
      <c r="U326" s="64"/>
      <c r="V326" s="64"/>
      <c r="W326" s="64"/>
      <c r="X326" s="64"/>
      <c r="Y326" s="64"/>
      <c r="Z326" s="64"/>
      <c r="AA326" s="64"/>
      <c r="AB326" s="64"/>
      <c r="AC326" s="64"/>
      <c r="AD326" s="64"/>
      <c r="AE326" s="134"/>
      <c r="AF326" s="134"/>
      <c r="AG326" s="113"/>
      <c r="BK326" s="107"/>
      <c r="BL326" s="107"/>
      <c r="BM326" s="107"/>
      <c r="BN326" s="107"/>
      <c r="BO326" s="107"/>
    </row>
    <row r="327" spans="2:67">
      <c r="B327" s="7"/>
      <c r="C327" s="7"/>
      <c r="D327" s="7"/>
      <c r="E327" s="7"/>
      <c r="F327" s="7"/>
      <c r="G327" s="7"/>
      <c r="H327" s="7"/>
      <c r="I327" s="7"/>
      <c r="J327" s="7"/>
      <c r="K327" s="7"/>
      <c r="L327" s="7"/>
      <c r="M327" s="7"/>
      <c r="N327" s="7"/>
      <c r="O327" s="7"/>
      <c r="P327" s="7"/>
      <c r="Q327" s="7"/>
      <c r="R327" s="64"/>
      <c r="S327" s="64"/>
      <c r="T327" s="64"/>
      <c r="U327" s="64"/>
      <c r="V327" s="64"/>
      <c r="W327" s="64"/>
      <c r="X327" s="64"/>
      <c r="Y327" s="64"/>
      <c r="Z327" s="64"/>
      <c r="AA327" s="64"/>
      <c r="AB327" s="64"/>
      <c r="AC327" s="64"/>
      <c r="AD327" s="64"/>
      <c r="AE327" s="134"/>
      <c r="AF327" s="134"/>
      <c r="AG327" s="113"/>
      <c r="BK327" s="107"/>
      <c r="BL327" s="107"/>
      <c r="BM327" s="107"/>
      <c r="BN327" s="107"/>
      <c r="BO327" s="107"/>
    </row>
    <row r="328" spans="2:67">
      <c r="B328" s="7"/>
      <c r="C328" s="7"/>
      <c r="D328" s="7"/>
      <c r="E328" s="7"/>
      <c r="F328" s="7"/>
      <c r="G328" s="7"/>
      <c r="H328" s="7"/>
      <c r="I328" s="7"/>
      <c r="J328" s="7"/>
      <c r="K328" s="7"/>
      <c r="L328" s="7"/>
      <c r="M328" s="7"/>
      <c r="N328" s="7"/>
      <c r="O328" s="7"/>
      <c r="P328" s="7"/>
      <c r="Q328" s="7"/>
      <c r="R328" s="64"/>
      <c r="S328" s="64"/>
      <c r="T328" s="64"/>
      <c r="U328" s="64"/>
      <c r="V328" s="64"/>
      <c r="W328" s="64"/>
      <c r="X328" s="64"/>
      <c r="Y328" s="64"/>
      <c r="Z328" s="64"/>
      <c r="AA328" s="64"/>
      <c r="AB328" s="64"/>
      <c r="AC328" s="64"/>
      <c r="AD328" s="64"/>
      <c r="AE328" s="134"/>
      <c r="AF328" s="134"/>
      <c r="AG328" s="113"/>
      <c r="BK328" s="107"/>
      <c r="BL328" s="107"/>
      <c r="BM328" s="107"/>
      <c r="BN328" s="107"/>
      <c r="BO328" s="107"/>
    </row>
    <row r="329" spans="2:67">
      <c r="B329" s="7"/>
      <c r="C329" s="7"/>
      <c r="D329" s="7"/>
      <c r="E329" s="7"/>
      <c r="F329" s="7"/>
      <c r="G329" s="7"/>
      <c r="H329" s="7"/>
      <c r="I329" s="7"/>
      <c r="J329" s="7"/>
      <c r="K329" s="7"/>
      <c r="L329" s="7"/>
      <c r="M329" s="7"/>
      <c r="N329" s="7"/>
      <c r="O329" s="7"/>
      <c r="P329" s="7"/>
      <c r="Q329" s="7"/>
      <c r="R329" s="64"/>
      <c r="S329" s="64"/>
      <c r="T329" s="64"/>
      <c r="U329" s="64"/>
      <c r="V329" s="64"/>
      <c r="W329" s="64"/>
      <c r="X329" s="64"/>
      <c r="Y329" s="64"/>
      <c r="Z329" s="64"/>
      <c r="AA329" s="64"/>
      <c r="AB329" s="64"/>
      <c r="AC329" s="64"/>
      <c r="AD329" s="64"/>
      <c r="AE329" s="134"/>
      <c r="AF329" s="134"/>
      <c r="AG329" s="113"/>
      <c r="BK329" s="107"/>
      <c r="BL329" s="107"/>
      <c r="BM329" s="107"/>
      <c r="BN329" s="107"/>
      <c r="BO329" s="107"/>
    </row>
    <row r="330" spans="2:67">
      <c r="B330" s="7"/>
      <c r="C330" s="7"/>
      <c r="D330" s="7"/>
      <c r="E330" s="7"/>
      <c r="F330" s="7"/>
      <c r="G330" s="7"/>
      <c r="H330" s="7"/>
      <c r="I330" s="7"/>
      <c r="J330" s="7"/>
      <c r="K330" s="7"/>
      <c r="L330" s="7"/>
      <c r="M330" s="7"/>
      <c r="N330" s="7"/>
      <c r="O330" s="7"/>
      <c r="P330" s="7"/>
      <c r="Q330" s="7"/>
      <c r="R330" s="64"/>
      <c r="S330" s="64"/>
      <c r="T330" s="64"/>
      <c r="U330" s="64"/>
      <c r="V330" s="64"/>
      <c r="W330" s="64"/>
      <c r="X330" s="64"/>
      <c r="Y330" s="64"/>
      <c r="Z330" s="64"/>
      <c r="AA330" s="64"/>
      <c r="AB330" s="64"/>
      <c r="AC330" s="64"/>
      <c r="AD330" s="64"/>
      <c r="AE330" s="134"/>
      <c r="AF330" s="134"/>
      <c r="AG330" s="113"/>
      <c r="BK330" s="107"/>
      <c r="BL330" s="107"/>
      <c r="BM330" s="107"/>
      <c r="BN330" s="107"/>
      <c r="BO330" s="107"/>
    </row>
    <row r="331" spans="2:67">
      <c r="B331" s="7"/>
      <c r="C331" s="7"/>
      <c r="D331" s="7"/>
      <c r="E331" s="7"/>
      <c r="F331" s="7"/>
      <c r="G331" s="7"/>
      <c r="H331" s="7"/>
      <c r="I331" s="7"/>
      <c r="J331" s="7"/>
      <c r="K331" s="7"/>
      <c r="L331" s="7"/>
      <c r="M331" s="7"/>
      <c r="N331" s="7"/>
      <c r="O331" s="7"/>
      <c r="P331" s="7"/>
      <c r="Q331" s="7"/>
      <c r="R331" s="64"/>
      <c r="S331" s="64"/>
      <c r="T331" s="64"/>
      <c r="U331" s="64"/>
      <c r="V331" s="64"/>
      <c r="W331" s="64"/>
      <c r="X331" s="64"/>
      <c r="Y331" s="64"/>
      <c r="Z331" s="64"/>
      <c r="AA331" s="64"/>
      <c r="AB331" s="64"/>
      <c r="AC331" s="64"/>
      <c r="AD331" s="64"/>
      <c r="AE331" s="134"/>
      <c r="AF331" s="134"/>
      <c r="AG331" s="113"/>
      <c r="BK331" s="107"/>
      <c r="BL331" s="107"/>
      <c r="BM331" s="107"/>
      <c r="BN331" s="107"/>
      <c r="BO331" s="107"/>
    </row>
    <row r="332" spans="2:67">
      <c r="B332" s="7"/>
      <c r="C332" s="7"/>
      <c r="D332" s="7"/>
      <c r="E332" s="7"/>
      <c r="F332" s="7"/>
      <c r="G332" s="7"/>
      <c r="H332" s="7"/>
      <c r="I332" s="7"/>
      <c r="J332" s="7"/>
      <c r="K332" s="7"/>
      <c r="L332" s="7"/>
      <c r="M332" s="7"/>
      <c r="N332" s="7"/>
      <c r="O332" s="7"/>
      <c r="P332" s="7"/>
      <c r="Q332" s="7"/>
      <c r="R332" s="64"/>
      <c r="S332" s="64"/>
      <c r="T332" s="64"/>
      <c r="U332" s="64"/>
      <c r="V332" s="64"/>
      <c r="W332" s="64"/>
      <c r="X332" s="64"/>
      <c r="Y332" s="64"/>
      <c r="Z332" s="64"/>
      <c r="AA332" s="64"/>
      <c r="AB332" s="64"/>
      <c r="AC332" s="64"/>
      <c r="AD332" s="64"/>
      <c r="AE332" s="134"/>
      <c r="AF332" s="134"/>
      <c r="AG332" s="113"/>
      <c r="BK332" s="107"/>
      <c r="BL332" s="107"/>
      <c r="BM332" s="107"/>
      <c r="BN332" s="107"/>
      <c r="BO332" s="107"/>
    </row>
    <row r="333" spans="2:67">
      <c r="B333" s="7"/>
      <c r="C333" s="7"/>
      <c r="D333" s="7"/>
      <c r="E333" s="7"/>
      <c r="F333" s="7"/>
      <c r="G333" s="7"/>
      <c r="H333" s="7"/>
      <c r="I333" s="7"/>
      <c r="J333" s="7"/>
      <c r="K333" s="7"/>
      <c r="L333" s="7"/>
      <c r="M333" s="7"/>
      <c r="N333" s="7"/>
      <c r="O333" s="7"/>
      <c r="P333" s="7"/>
      <c r="Q333" s="7"/>
      <c r="R333" s="64"/>
      <c r="S333" s="64"/>
      <c r="T333" s="64"/>
      <c r="U333" s="64"/>
      <c r="V333" s="64"/>
      <c r="W333" s="64"/>
      <c r="X333" s="64"/>
      <c r="Y333" s="64"/>
      <c r="Z333" s="64"/>
      <c r="AA333" s="64"/>
      <c r="AB333" s="64"/>
      <c r="AC333" s="64"/>
      <c r="AD333" s="64"/>
      <c r="AE333" s="134"/>
      <c r="AF333" s="134"/>
      <c r="AG333" s="113"/>
      <c r="BK333" s="107"/>
      <c r="BL333" s="107"/>
      <c r="BM333" s="107"/>
      <c r="BN333" s="107"/>
      <c r="BO333" s="107"/>
    </row>
    <row r="334" spans="2:67">
      <c r="B334" s="7"/>
      <c r="C334" s="7"/>
      <c r="D334" s="7"/>
      <c r="E334" s="7"/>
      <c r="F334" s="7"/>
      <c r="G334" s="7"/>
      <c r="H334" s="7"/>
      <c r="I334" s="7"/>
      <c r="J334" s="7"/>
      <c r="K334" s="7"/>
      <c r="L334" s="7"/>
      <c r="M334" s="7"/>
      <c r="N334" s="7"/>
      <c r="O334" s="7"/>
      <c r="P334" s="7"/>
      <c r="Q334" s="7"/>
      <c r="R334" s="64"/>
      <c r="S334" s="64"/>
      <c r="T334" s="64"/>
      <c r="U334" s="64"/>
      <c r="V334" s="64"/>
      <c r="W334" s="64"/>
      <c r="X334" s="64"/>
      <c r="Y334" s="64"/>
      <c r="Z334" s="64"/>
      <c r="AA334" s="64"/>
      <c r="AB334" s="64"/>
      <c r="AC334" s="64"/>
      <c r="AD334" s="64"/>
      <c r="AE334" s="134"/>
      <c r="AF334" s="134"/>
      <c r="AG334" s="113"/>
      <c r="BK334" s="107"/>
      <c r="BL334" s="107"/>
      <c r="BM334" s="107"/>
      <c r="BN334" s="107"/>
      <c r="BO334" s="107"/>
    </row>
    <row r="335" spans="2:67">
      <c r="B335" s="7"/>
      <c r="C335" s="7"/>
      <c r="D335" s="7"/>
      <c r="E335" s="7"/>
      <c r="F335" s="7"/>
      <c r="G335" s="7"/>
      <c r="H335" s="7"/>
      <c r="I335" s="7"/>
      <c r="J335" s="7"/>
      <c r="K335" s="7"/>
      <c r="L335" s="7"/>
      <c r="M335" s="7"/>
      <c r="N335" s="7"/>
      <c r="O335" s="7"/>
      <c r="P335" s="7"/>
      <c r="Q335" s="7"/>
      <c r="R335" s="64"/>
      <c r="S335" s="64"/>
      <c r="T335" s="64"/>
      <c r="U335" s="64"/>
      <c r="V335" s="64"/>
      <c r="W335" s="64"/>
      <c r="X335" s="64"/>
      <c r="Y335" s="64"/>
      <c r="Z335" s="64"/>
      <c r="AA335" s="64"/>
      <c r="AB335" s="64"/>
      <c r="AC335" s="64"/>
      <c r="AD335" s="64"/>
      <c r="AE335" s="134"/>
      <c r="AF335" s="134"/>
      <c r="AG335" s="113"/>
      <c r="BK335" s="107"/>
      <c r="BL335" s="107"/>
      <c r="BM335" s="107"/>
      <c r="BN335" s="107"/>
      <c r="BO335" s="107"/>
    </row>
    <row r="336" spans="2:67">
      <c r="B336" s="7"/>
      <c r="C336" s="7"/>
      <c r="D336" s="7"/>
      <c r="E336" s="7"/>
      <c r="F336" s="7"/>
      <c r="G336" s="7"/>
      <c r="H336" s="7"/>
      <c r="I336" s="7"/>
      <c r="J336" s="7"/>
      <c r="K336" s="7"/>
      <c r="L336" s="7"/>
      <c r="M336" s="7"/>
      <c r="N336" s="7"/>
      <c r="O336" s="7"/>
      <c r="P336" s="7"/>
      <c r="Q336" s="7"/>
      <c r="R336" s="64"/>
      <c r="S336" s="64"/>
      <c r="T336" s="64"/>
      <c r="U336" s="64"/>
      <c r="V336" s="64"/>
      <c r="W336" s="64"/>
      <c r="X336" s="64"/>
      <c r="Y336" s="64"/>
      <c r="Z336" s="64"/>
      <c r="AA336" s="64"/>
      <c r="AB336" s="64"/>
      <c r="AC336" s="64"/>
      <c r="AD336" s="64"/>
      <c r="AE336" s="134"/>
      <c r="AF336" s="134"/>
      <c r="AG336" s="113"/>
      <c r="BK336" s="107"/>
      <c r="BL336" s="107"/>
      <c r="BM336" s="107"/>
      <c r="BN336" s="107"/>
      <c r="BO336" s="107"/>
    </row>
    <row r="337" spans="2:67">
      <c r="B337" s="7"/>
      <c r="C337" s="7"/>
      <c r="D337" s="7"/>
      <c r="E337" s="7"/>
      <c r="F337" s="7"/>
      <c r="G337" s="7"/>
      <c r="H337" s="7"/>
      <c r="I337" s="7"/>
      <c r="J337" s="7"/>
      <c r="K337" s="7"/>
      <c r="L337" s="7"/>
      <c r="M337" s="7"/>
      <c r="N337" s="7"/>
      <c r="O337" s="7"/>
      <c r="P337" s="7"/>
      <c r="Q337" s="7"/>
      <c r="R337" s="64"/>
      <c r="S337" s="64"/>
      <c r="T337" s="64"/>
      <c r="U337" s="64"/>
      <c r="V337" s="64"/>
      <c r="W337" s="64"/>
      <c r="X337" s="64"/>
      <c r="Y337" s="64"/>
      <c r="Z337" s="64"/>
      <c r="AA337" s="64"/>
      <c r="AB337" s="64"/>
      <c r="AC337" s="64"/>
      <c r="AD337" s="64"/>
      <c r="AE337" s="134"/>
      <c r="AF337" s="134"/>
      <c r="AG337" s="113"/>
      <c r="BK337" s="107"/>
      <c r="BL337" s="107"/>
      <c r="BM337" s="107"/>
      <c r="BN337" s="107"/>
      <c r="BO337" s="107"/>
    </row>
    <row r="338" spans="2:67">
      <c r="B338" s="7"/>
      <c r="C338" s="7"/>
      <c r="D338" s="7"/>
      <c r="E338" s="7"/>
      <c r="F338" s="7"/>
      <c r="G338" s="7"/>
      <c r="H338" s="7"/>
      <c r="I338" s="7"/>
      <c r="J338" s="7"/>
      <c r="K338" s="7"/>
      <c r="L338" s="7"/>
      <c r="M338" s="7"/>
      <c r="N338" s="7"/>
      <c r="O338" s="7"/>
      <c r="P338" s="7"/>
      <c r="Q338" s="7"/>
      <c r="R338" s="64"/>
      <c r="S338" s="64"/>
      <c r="T338" s="64"/>
      <c r="U338" s="64"/>
      <c r="V338" s="64"/>
      <c r="W338" s="64"/>
      <c r="X338" s="64"/>
      <c r="Y338" s="64"/>
      <c r="Z338" s="64"/>
      <c r="AA338" s="64"/>
      <c r="AB338" s="64"/>
      <c r="AC338" s="64"/>
      <c r="AD338" s="64"/>
      <c r="AE338" s="134"/>
      <c r="AF338" s="134"/>
      <c r="AG338" s="113"/>
      <c r="BK338" s="107"/>
      <c r="BL338" s="107"/>
      <c r="BM338" s="107"/>
      <c r="BN338" s="107"/>
      <c r="BO338" s="107"/>
    </row>
    <row r="339" spans="2:67">
      <c r="B339" s="7"/>
      <c r="C339" s="7"/>
      <c r="D339" s="7"/>
      <c r="E339" s="7"/>
      <c r="F339" s="7"/>
      <c r="G339" s="7"/>
      <c r="H339" s="7"/>
      <c r="I339" s="7"/>
      <c r="J339" s="7"/>
      <c r="K339" s="7"/>
      <c r="L339" s="7"/>
      <c r="M339" s="7"/>
      <c r="N339" s="7"/>
      <c r="O339" s="7"/>
      <c r="P339" s="7"/>
      <c r="Q339" s="7"/>
      <c r="R339" s="64"/>
      <c r="S339" s="64"/>
      <c r="T339" s="64"/>
      <c r="U339" s="64"/>
      <c r="V339" s="64"/>
      <c r="W339" s="64"/>
      <c r="X339" s="64"/>
      <c r="Y339" s="64"/>
      <c r="Z339" s="64"/>
      <c r="AA339" s="64"/>
      <c r="AB339" s="64"/>
      <c r="AC339" s="64"/>
      <c r="AD339" s="64"/>
      <c r="AE339" s="134"/>
      <c r="AF339" s="134"/>
      <c r="AG339" s="113"/>
      <c r="BK339" s="107"/>
      <c r="BL339" s="107"/>
      <c r="BM339" s="107"/>
      <c r="BN339" s="107"/>
      <c r="BO339" s="107"/>
    </row>
    <row r="340" spans="2:67">
      <c r="B340" s="7"/>
      <c r="C340" s="7"/>
      <c r="D340" s="7"/>
      <c r="E340" s="7"/>
      <c r="F340" s="7"/>
      <c r="G340" s="7"/>
      <c r="H340" s="7"/>
      <c r="I340" s="7"/>
      <c r="J340" s="7"/>
      <c r="K340" s="7"/>
      <c r="L340" s="7"/>
      <c r="M340" s="7"/>
      <c r="N340" s="7"/>
      <c r="O340" s="7"/>
      <c r="P340" s="7"/>
      <c r="Q340" s="7"/>
      <c r="R340" s="64"/>
      <c r="S340" s="64"/>
      <c r="T340" s="64"/>
      <c r="U340" s="64"/>
      <c r="V340" s="64"/>
      <c r="W340" s="64"/>
      <c r="X340" s="64"/>
      <c r="Y340" s="64"/>
      <c r="Z340" s="64"/>
      <c r="AA340" s="64"/>
      <c r="AB340" s="64"/>
      <c r="AC340" s="64"/>
      <c r="AD340" s="64"/>
      <c r="AE340" s="134"/>
      <c r="AF340" s="134"/>
      <c r="AG340" s="113"/>
      <c r="BK340" s="107"/>
      <c r="BL340" s="107"/>
      <c r="BM340" s="107"/>
      <c r="BN340" s="107"/>
      <c r="BO340" s="107"/>
    </row>
    <row r="341" spans="2:67">
      <c r="B341" s="7"/>
      <c r="C341" s="7"/>
      <c r="D341" s="7"/>
      <c r="E341" s="7"/>
      <c r="F341" s="7"/>
      <c r="G341" s="7"/>
      <c r="H341" s="7"/>
      <c r="I341" s="7"/>
      <c r="J341" s="7"/>
      <c r="K341" s="7"/>
      <c r="L341" s="7"/>
      <c r="M341" s="7"/>
      <c r="N341" s="7"/>
      <c r="O341" s="7"/>
      <c r="P341" s="7"/>
      <c r="Q341" s="7"/>
      <c r="R341" s="64"/>
      <c r="S341" s="64"/>
      <c r="T341" s="64"/>
      <c r="U341" s="64"/>
      <c r="V341" s="64"/>
      <c r="W341" s="64"/>
      <c r="X341" s="64"/>
      <c r="Y341" s="64"/>
      <c r="Z341" s="64"/>
      <c r="AA341" s="64"/>
      <c r="AB341" s="64"/>
      <c r="AC341" s="64"/>
      <c r="AD341" s="64"/>
      <c r="AE341" s="134"/>
      <c r="AF341" s="134"/>
      <c r="AG341" s="113"/>
      <c r="BK341" s="107"/>
      <c r="BL341" s="107"/>
      <c r="BM341" s="107"/>
      <c r="BN341" s="107"/>
      <c r="BO341" s="107"/>
    </row>
    <row r="342" spans="2:67">
      <c r="B342" s="7"/>
      <c r="C342" s="7"/>
      <c r="D342" s="7"/>
      <c r="E342" s="7"/>
      <c r="F342" s="7"/>
      <c r="G342" s="7"/>
      <c r="H342" s="7"/>
      <c r="I342" s="7"/>
      <c r="J342" s="7"/>
      <c r="K342" s="7"/>
      <c r="L342" s="7"/>
      <c r="M342" s="7"/>
      <c r="N342" s="7"/>
      <c r="O342" s="7"/>
      <c r="P342" s="7"/>
      <c r="Q342" s="7"/>
      <c r="R342" s="64"/>
      <c r="S342" s="64"/>
      <c r="T342" s="64"/>
      <c r="U342" s="64"/>
      <c r="V342" s="64"/>
      <c r="W342" s="64"/>
      <c r="X342" s="64"/>
      <c r="Y342" s="64"/>
      <c r="Z342" s="64"/>
      <c r="AA342" s="64"/>
      <c r="AB342" s="64"/>
      <c r="AC342" s="64"/>
      <c r="AD342" s="64"/>
      <c r="AE342" s="134"/>
      <c r="AF342" s="134"/>
      <c r="AG342" s="113"/>
      <c r="BK342" s="107"/>
      <c r="BL342" s="107"/>
      <c r="BM342" s="107"/>
      <c r="BN342" s="107"/>
      <c r="BO342" s="107"/>
    </row>
    <row r="343" spans="2:67">
      <c r="B343" s="7"/>
      <c r="C343" s="7"/>
      <c r="D343" s="7"/>
      <c r="E343" s="7"/>
      <c r="F343" s="7"/>
      <c r="G343" s="7"/>
      <c r="H343" s="7"/>
      <c r="I343" s="7"/>
      <c r="J343" s="7"/>
      <c r="K343" s="7"/>
      <c r="L343" s="7"/>
      <c r="M343" s="7"/>
      <c r="N343" s="7"/>
      <c r="O343" s="7"/>
      <c r="P343" s="7"/>
      <c r="Q343" s="7"/>
      <c r="R343" s="64"/>
      <c r="S343" s="64"/>
      <c r="T343" s="64"/>
      <c r="U343" s="64"/>
      <c r="V343" s="64"/>
      <c r="W343" s="64"/>
      <c r="X343" s="64"/>
      <c r="Y343" s="64"/>
      <c r="Z343" s="64"/>
      <c r="AA343" s="64"/>
      <c r="AB343" s="64"/>
      <c r="AC343" s="64"/>
      <c r="AD343" s="64"/>
      <c r="AE343" s="134"/>
      <c r="AF343" s="134"/>
      <c r="AG343" s="113"/>
      <c r="BK343" s="107"/>
      <c r="BL343" s="107"/>
      <c r="BM343" s="107"/>
      <c r="BN343" s="107"/>
      <c r="BO343" s="107"/>
    </row>
    <row r="344" spans="2:67">
      <c r="B344" s="7"/>
      <c r="C344" s="7"/>
      <c r="D344" s="7"/>
      <c r="E344" s="7"/>
      <c r="F344" s="7"/>
      <c r="G344" s="7"/>
      <c r="H344" s="7"/>
      <c r="I344" s="7"/>
      <c r="J344" s="7"/>
      <c r="K344" s="7"/>
      <c r="L344" s="7"/>
      <c r="M344" s="7"/>
      <c r="N344" s="7"/>
      <c r="O344" s="7"/>
      <c r="P344" s="7"/>
      <c r="Q344" s="7"/>
      <c r="R344" s="64"/>
      <c r="S344" s="64"/>
      <c r="T344" s="64"/>
      <c r="U344" s="64"/>
      <c r="V344" s="64"/>
      <c r="W344" s="64"/>
      <c r="X344" s="64"/>
      <c r="Y344" s="64"/>
      <c r="Z344" s="64"/>
      <c r="AA344" s="64"/>
      <c r="AB344" s="64"/>
      <c r="AC344" s="64"/>
      <c r="AD344" s="64"/>
      <c r="AE344" s="134"/>
      <c r="AF344" s="134"/>
      <c r="AG344" s="113"/>
      <c r="BK344" s="107"/>
      <c r="BL344" s="107"/>
      <c r="BM344" s="107"/>
      <c r="BN344" s="107"/>
      <c r="BO344" s="107"/>
    </row>
    <row r="345" spans="2:67">
      <c r="B345" s="7"/>
      <c r="C345" s="7"/>
      <c r="D345" s="7"/>
      <c r="E345" s="7"/>
      <c r="F345" s="7"/>
      <c r="G345" s="7"/>
      <c r="H345" s="7"/>
      <c r="I345" s="7"/>
      <c r="J345" s="7"/>
      <c r="K345" s="7"/>
      <c r="L345" s="7"/>
      <c r="M345" s="7"/>
      <c r="N345" s="7"/>
      <c r="O345" s="7"/>
      <c r="P345" s="7"/>
      <c r="Q345" s="7"/>
      <c r="R345" s="64"/>
      <c r="S345" s="64"/>
      <c r="T345" s="64"/>
      <c r="U345" s="64"/>
      <c r="V345" s="64"/>
      <c r="W345" s="64"/>
      <c r="X345" s="64"/>
      <c r="Y345" s="64"/>
      <c r="Z345" s="64"/>
      <c r="AA345" s="64"/>
      <c r="AB345" s="64"/>
      <c r="AC345" s="64"/>
      <c r="AD345" s="64"/>
      <c r="AE345" s="134"/>
      <c r="AF345" s="134"/>
      <c r="AG345" s="113"/>
      <c r="BK345" s="107"/>
      <c r="BL345" s="107"/>
      <c r="BM345" s="107"/>
      <c r="BN345" s="107"/>
      <c r="BO345" s="107"/>
    </row>
    <row r="346" spans="2:67">
      <c r="B346" s="7"/>
      <c r="C346" s="7"/>
      <c r="D346" s="7"/>
      <c r="E346" s="7"/>
      <c r="F346" s="7"/>
      <c r="G346" s="7"/>
      <c r="H346" s="7"/>
      <c r="I346" s="7"/>
      <c r="J346" s="7"/>
      <c r="K346" s="7"/>
      <c r="L346" s="7"/>
      <c r="M346" s="7"/>
      <c r="N346" s="7"/>
      <c r="O346" s="7"/>
      <c r="P346" s="7"/>
      <c r="Q346" s="7"/>
      <c r="R346" s="64"/>
      <c r="S346" s="64"/>
      <c r="T346" s="64"/>
      <c r="U346" s="64"/>
      <c r="V346" s="64"/>
      <c r="W346" s="64"/>
      <c r="X346" s="64"/>
      <c r="Y346" s="64"/>
      <c r="Z346" s="64"/>
      <c r="AA346" s="64"/>
      <c r="AB346" s="64"/>
      <c r="AC346" s="64"/>
      <c r="AD346" s="64"/>
      <c r="AE346" s="134"/>
      <c r="AF346" s="134"/>
      <c r="AG346" s="113"/>
      <c r="BK346" s="107"/>
      <c r="BL346" s="107"/>
      <c r="BM346" s="107"/>
      <c r="BN346" s="107"/>
      <c r="BO346" s="107"/>
    </row>
    <row r="347" spans="2:67">
      <c r="B347" s="7"/>
      <c r="C347" s="7"/>
      <c r="D347" s="7"/>
      <c r="E347" s="7"/>
      <c r="F347" s="7"/>
      <c r="G347" s="7"/>
      <c r="H347" s="7"/>
      <c r="I347" s="7"/>
      <c r="J347" s="7"/>
      <c r="K347" s="7"/>
      <c r="L347" s="7"/>
      <c r="M347" s="7"/>
      <c r="N347" s="7"/>
      <c r="O347" s="7"/>
      <c r="P347" s="7"/>
      <c r="Q347" s="7"/>
      <c r="R347" s="64"/>
      <c r="S347" s="64"/>
      <c r="T347" s="64"/>
      <c r="U347" s="64"/>
      <c r="V347" s="64"/>
      <c r="W347" s="64"/>
      <c r="X347" s="64"/>
      <c r="Y347" s="64"/>
      <c r="Z347" s="64"/>
      <c r="AA347" s="64"/>
      <c r="AB347" s="64"/>
      <c r="AC347" s="64"/>
      <c r="AD347" s="64"/>
      <c r="AE347" s="134"/>
      <c r="AF347" s="134"/>
      <c r="AG347" s="113"/>
      <c r="BK347" s="107"/>
      <c r="BL347" s="107"/>
      <c r="BM347" s="107"/>
      <c r="BN347" s="107"/>
      <c r="BO347" s="107"/>
    </row>
    <row r="348" spans="2:67">
      <c r="B348" s="7"/>
      <c r="C348" s="7"/>
      <c r="D348" s="7"/>
      <c r="E348" s="7"/>
      <c r="F348" s="7"/>
      <c r="G348" s="7"/>
      <c r="H348" s="7"/>
      <c r="I348" s="7"/>
      <c r="J348" s="7"/>
      <c r="K348" s="7"/>
      <c r="L348" s="7"/>
      <c r="M348" s="7"/>
      <c r="N348" s="7"/>
      <c r="O348" s="7"/>
      <c r="P348" s="7"/>
      <c r="Q348" s="7"/>
      <c r="R348" s="64"/>
      <c r="S348" s="64"/>
      <c r="T348" s="64"/>
      <c r="U348" s="64"/>
      <c r="V348" s="64"/>
      <c r="W348" s="64"/>
      <c r="X348" s="64"/>
      <c r="Y348" s="64"/>
      <c r="Z348" s="64"/>
      <c r="AA348" s="64"/>
      <c r="AB348" s="64"/>
      <c r="AC348" s="64"/>
      <c r="AD348" s="64"/>
      <c r="AE348" s="134"/>
      <c r="AF348" s="134"/>
      <c r="AG348" s="113"/>
      <c r="BK348" s="107"/>
      <c r="BL348" s="107"/>
      <c r="BM348" s="107"/>
      <c r="BN348" s="107"/>
      <c r="BO348" s="107"/>
    </row>
    <row r="349" spans="2:67">
      <c r="B349" s="7"/>
      <c r="C349" s="7"/>
      <c r="D349" s="7"/>
      <c r="E349" s="7"/>
      <c r="F349" s="7"/>
      <c r="G349" s="7"/>
      <c r="H349" s="7"/>
      <c r="I349" s="7"/>
      <c r="J349" s="7"/>
      <c r="K349" s="7"/>
      <c r="L349" s="7"/>
      <c r="M349" s="7"/>
      <c r="N349" s="7"/>
      <c r="O349" s="7"/>
      <c r="P349" s="7"/>
      <c r="Q349" s="7"/>
      <c r="R349" s="64"/>
      <c r="S349" s="64"/>
      <c r="T349" s="64"/>
      <c r="U349" s="64"/>
      <c r="V349" s="64"/>
      <c r="W349" s="64"/>
      <c r="X349" s="64"/>
      <c r="Y349" s="64"/>
      <c r="Z349" s="64"/>
      <c r="AA349" s="64"/>
      <c r="AB349" s="64"/>
      <c r="AC349" s="64"/>
      <c r="AD349" s="64"/>
      <c r="AE349" s="134"/>
      <c r="AF349" s="134"/>
      <c r="AG349" s="113"/>
      <c r="BK349" s="107"/>
      <c r="BL349" s="107"/>
      <c r="BM349" s="107"/>
      <c r="BN349" s="107"/>
      <c r="BO349" s="107"/>
    </row>
    <row r="350" spans="2:67">
      <c r="B350" s="7"/>
      <c r="C350" s="7"/>
      <c r="D350" s="7"/>
      <c r="E350" s="7"/>
      <c r="F350" s="7"/>
      <c r="G350" s="7"/>
      <c r="H350" s="7"/>
      <c r="I350" s="7"/>
      <c r="J350" s="7"/>
      <c r="K350" s="7"/>
      <c r="L350" s="7"/>
      <c r="M350" s="7"/>
      <c r="N350" s="7"/>
      <c r="O350" s="7"/>
      <c r="P350" s="7"/>
      <c r="Q350" s="7"/>
      <c r="R350" s="64"/>
      <c r="S350" s="64"/>
      <c r="T350" s="64"/>
      <c r="U350" s="64"/>
      <c r="V350" s="64"/>
      <c r="W350" s="64"/>
      <c r="X350" s="64"/>
      <c r="Y350" s="64"/>
      <c r="Z350" s="64"/>
      <c r="AA350" s="64"/>
      <c r="AB350" s="64"/>
      <c r="AC350" s="64"/>
      <c r="AD350" s="64"/>
      <c r="AE350" s="134"/>
      <c r="AF350" s="134"/>
      <c r="AG350" s="113"/>
      <c r="BK350" s="107"/>
      <c r="BL350" s="107"/>
      <c r="BM350" s="107"/>
      <c r="BN350" s="107"/>
      <c r="BO350" s="107"/>
    </row>
    <row r="351" spans="2:67">
      <c r="B351" s="7"/>
      <c r="C351" s="7"/>
      <c r="D351" s="7"/>
      <c r="E351" s="7"/>
      <c r="F351" s="7"/>
      <c r="G351" s="7"/>
      <c r="H351" s="7"/>
      <c r="I351" s="7"/>
      <c r="J351" s="7"/>
      <c r="K351" s="7"/>
      <c r="L351" s="7"/>
      <c r="M351" s="7"/>
      <c r="N351" s="7"/>
      <c r="O351" s="7"/>
      <c r="P351" s="7"/>
      <c r="Q351" s="7"/>
      <c r="R351" s="64"/>
      <c r="S351" s="64"/>
      <c r="T351" s="64"/>
      <c r="U351" s="64"/>
      <c r="V351" s="64"/>
      <c r="W351" s="64"/>
      <c r="X351" s="64"/>
      <c r="Y351" s="64"/>
      <c r="Z351" s="64"/>
      <c r="AA351" s="64"/>
      <c r="AB351" s="64"/>
      <c r="AC351" s="64"/>
      <c r="AD351" s="64"/>
      <c r="AE351" s="134"/>
      <c r="AF351" s="134"/>
      <c r="AG351" s="113"/>
      <c r="BK351" s="107"/>
      <c r="BL351" s="107"/>
      <c r="BM351" s="107"/>
      <c r="BN351" s="107"/>
      <c r="BO351" s="107"/>
    </row>
    <row r="352" spans="2:67">
      <c r="B352" s="7"/>
      <c r="C352" s="7"/>
      <c r="D352" s="7"/>
      <c r="E352" s="7"/>
      <c r="F352" s="7"/>
      <c r="G352" s="7"/>
      <c r="H352" s="7"/>
      <c r="I352" s="7"/>
      <c r="J352" s="7"/>
      <c r="K352" s="7"/>
      <c r="L352" s="7"/>
      <c r="M352" s="7"/>
      <c r="N352" s="7"/>
      <c r="O352" s="7"/>
      <c r="P352" s="7"/>
      <c r="Q352" s="7"/>
      <c r="R352" s="64"/>
      <c r="S352" s="64"/>
      <c r="T352" s="64"/>
      <c r="U352" s="64"/>
      <c r="V352" s="64"/>
      <c r="W352" s="64"/>
      <c r="X352" s="64"/>
      <c r="Y352" s="64"/>
      <c r="Z352" s="64"/>
      <c r="AA352" s="64"/>
      <c r="AB352" s="64"/>
      <c r="AC352" s="64"/>
      <c r="AD352" s="64"/>
      <c r="AE352" s="134"/>
      <c r="AF352" s="134"/>
      <c r="AG352" s="113"/>
      <c r="BK352" s="107"/>
      <c r="BL352" s="107"/>
      <c r="BM352" s="107"/>
      <c r="BN352" s="107"/>
      <c r="BO352" s="107"/>
    </row>
    <row r="353" spans="2:67">
      <c r="B353" s="7"/>
      <c r="C353" s="7"/>
      <c r="D353" s="7"/>
      <c r="E353" s="7"/>
      <c r="F353" s="7"/>
      <c r="G353" s="7"/>
      <c r="H353" s="7"/>
      <c r="I353" s="7"/>
      <c r="J353" s="7"/>
      <c r="K353" s="7"/>
      <c r="L353" s="7"/>
      <c r="M353" s="7"/>
      <c r="N353" s="7"/>
      <c r="O353" s="7"/>
      <c r="P353" s="7"/>
      <c r="Q353" s="7"/>
      <c r="R353" s="64"/>
      <c r="S353" s="64"/>
      <c r="T353" s="64"/>
      <c r="U353" s="64"/>
      <c r="V353" s="64"/>
      <c r="W353" s="64"/>
      <c r="X353" s="64"/>
      <c r="Y353" s="64"/>
      <c r="Z353" s="64"/>
      <c r="AA353" s="64"/>
      <c r="AB353" s="64"/>
      <c r="AC353" s="64"/>
      <c r="AD353" s="64"/>
      <c r="AE353" s="134"/>
      <c r="AF353" s="134"/>
      <c r="AG353" s="113"/>
      <c r="BK353" s="107"/>
      <c r="BL353" s="107"/>
      <c r="BM353" s="107"/>
      <c r="BN353" s="107"/>
      <c r="BO353" s="107"/>
    </row>
    <row r="354" spans="2:67">
      <c r="B354" s="7"/>
      <c r="C354" s="7"/>
      <c r="D354" s="7"/>
      <c r="E354" s="7"/>
      <c r="F354" s="7"/>
      <c r="G354" s="7"/>
      <c r="H354" s="7"/>
      <c r="I354" s="7"/>
      <c r="J354" s="7"/>
      <c r="K354" s="7"/>
      <c r="L354" s="7"/>
      <c r="M354" s="7"/>
      <c r="N354" s="7"/>
      <c r="O354" s="7"/>
      <c r="P354" s="7"/>
      <c r="Q354" s="7"/>
      <c r="R354" s="64"/>
      <c r="S354" s="64"/>
      <c r="T354" s="64"/>
      <c r="U354" s="64"/>
      <c r="V354" s="64"/>
      <c r="W354" s="64"/>
      <c r="X354" s="64"/>
      <c r="Y354" s="64"/>
      <c r="Z354" s="64"/>
      <c r="AA354" s="64"/>
      <c r="AB354" s="64"/>
      <c r="AC354" s="64"/>
      <c r="AD354" s="64"/>
      <c r="AE354" s="134"/>
      <c r="AF354" s="134"/>
      <c r="AG354" s="113"/>
      <c r="BK354" s="107"/>
      <c r="BL354" s="107"/>
      <c r="BM354" s="107"/>
      <c r="BN354" s="107"/>
      <c r="BO354" s="107"/>
    </row>
    <row r="355" spans="2:67">
      <c r="B355" s="7"/>
      <c r="C355" s="7"/>
      <c r="D355" s="7"/>
      <c r="E355" s="7"/>
      <c r="F355" s="7"/>
      <c r="G355" s="7"/>
      <c r="H355" s="7"/>
      <c r="I355" s="7"/>
      <c r="J355" s="7"/>
      <c r="K355" s="7"/>
      <c r="L355" s="7"/>
      <c r="M355" s="7"/>
      <c r="N355" s="7"/>
      <c r="O355" s="7"/>
      <c r="P355" s="7"/>
      <c r="Q355" s="7"/>
      <c r="R355" s="64"/>
      <c r="S355" s="64"/>
      <c r="T355" s="64"/>
      <c r="U355" s="64"/>
      <c r="V355" s="64"/>
      <c r="W355" s="64"/>
      <c r="X355" s="64"/>
      <c r="Y355" s="64"/>
      <c r="Z355" s="64"/>
      <c r="AA355" s="64"/>
      <c r="AB355" s="64"/>
      <c r="AC355" s="64"/>
      <c r="AD355" s="64"/>
      <c r="AE355" s="134"/>
      <c r="AF355" s="134"/>
      <c r="AG355" s="113"/>
      <c r="BK355" s="107"/>
      <c r="BL355" s="107"/>
      <c r="BM355" s="107"/>
      <c r="BN355" s="107"/>
      <c r="BO355" s="107"/>
    </row>
    <row r="356" spans="2:67">
      <c r="B356" s="7"/>
      <c r="C356" s="7"/>
      <c r="D356" s="7"/>
      <c r="E356" s="7"/>
      <c r="F356" s="7"/>
      <c r="G356" s="7"/>
      <c r="H356" s="7"/>
      <c r="I356" s="7"/>
      <c r="J356" s="7"/>
      <c r="K356" s="7"/>
      <c r="L356" s="7"/>
      <c r="M356" s="7"/>
      <c r="N356" s="7"/>
      <c r="O356" s="7"/>
      <c r="P356" s="7"/>
      <c r="Q356" s="7"/>
      <c r="R356" s="64"/>
      <c r="S356" s="64"/>
      <c r="T356" s="64"/>
      <c r="U356" s="64"/>
      <c r="V356" s="64"/>
      <c r="W356" s="64"/>
      <c r="X356" s="64"/>
      <c r="Y356" s="64"/>
      <c r="Z356" s="64"/>
      <c r="AA356" s="64"/>
      <c r="AB356" s="64"/>
      <c r="AC356" s="64"/>
      <c r="AD356" s="64"/>
      <c r="AE356" s="134"/>
      <c r="AF356" s="134"/>
      <c r="AG356" s="113"/>
      <c r="BK356" s="107"/>
      <c r="BL356" s="107"/>
      <c r="BM356" s="107"/>
      <c r="BN356" s="107"/>
      <c r="BO356" s="107"/>
    </row>
    <row r="357" spans="2:67">
      <c r="B357" s="7"/>
      <c r="C357" s="7"/>
      <c r="D357" s="7"/>
      <c r="E357" s="7"/>
      <c r="F357" s="7"/>
      <c r="G357" s="7"/>
      <c r="H357" s="7"/>
      <c r="I357" s="7"/>
      <c r="J357" s="7"/>
      <c r="K357" s="7"/>
      <c r="L357" s="7"/>
      <c r="M357" s="7"/>
      <c r="N357" s="7"/>
      <c r="O357" s="7"/>
      <c r="P357" s="7"/>
      <c r="Q357" s="7"/>
      <c r="R357" s="64"/>
      <c r="S357" s="64"/>
      <c r="T357" s="64"/>
      <c r="U357" s="64"/>
      <c r="V357" s="64"/>
      <c r="W357" s="64"/>
      <c r="X357" s="64"/>
      <c r="Y357" s="64"/>
      <c r="Z357" s="64"/>
      <c r="AA357" s="64"/>
      <c r="AB357" s="64"/>
      <c r="AC357" s="64"/>
      <c r="AD357" s="64"/>
      <c r="AE357" s="134"/>
      <c r="AF357" s="134"/>
      <c r="AG357" s="113"/>
      <c r="BK357" s="107"/>
      <c r="BL357" s="107"/>
      <c r="BM357" s="107"/>
      <c r="BN357" s="107"/>
      <c r="BO357" s="107"/>
    </row>
    <row r="358" spans="2:67">
      <c r="B358" s="7"/>
      <c r="C358" s="7"/>
      <c r="D358" s="7"/>
      <c r="E358" s="7"/>
      <c r="F358" s="7"/>
      <c r="G358" s="7"/>
      <c r="H358" s="7"/>
      <c r="I358" s="7"/>
      <c r="J358" s="7"/>
      <c r="K358" s="7"/>
      <c r="L358" s="7"/>
      <c r="M358" s="7"/>
      <c r="N358" s="7"/>
      <c r="O358" s="7"/>
      <c r="P358" s="7"/>
      <c r="Q358" s="7"/>
      <c r="R358" s="64"/>
      <c r="S358" s="64"/>
      <c r="T358" s="64"/>
      <c r="U358" s="64"/>
      <c r="V358" s="64"/>
      <c r="W358" s="64"/>
      <c r="X358" s="64"/>
      <c r="Y358" s="64"/>
      <c r="Z358" s="64"/>
      <c r="AA358" s="64"/>
      <c r="AB358" s="64"/>
      <c r="AC358" s="64"/>
      <c r="AD358" s="64"/>
      <c r="AE358" s="134"/>
      <c r="AF358" s="134"/>
      <c r="AG358" s="113"/>
      <c r="BK358" s="107"/>
      <c r="BL358" s="107"/>
      <c r="BM358" s="107"/>
      <c r="BN358" s="107"/>
      <c r="BO358" s="107"/>
    </row>
    <row r="359" spans="2:67">
      <c r="B359" s="7"/>
      <c r="C359" s="7"/>
      <c r="D359" s="7"/>
      <c r="E359" s="7"/>
      <c r="F359" s="7"/>
      <c r="G359" s="7"/>
      <c r="H359" s="7"/>
      <c r="I359" s="7"/>
      <c r="J359" s="7"/>
      <c r="K359" s="7"/>
      <c r="L359" s="7"/>
      <c r="M359" s="7"/>
      <c r="N359" s="7"/>
      <c r="O359" s="7"/>
      <c r="P359" s="7"/>
      <c r="Q359" s="7"/>
      <c r="R359" s="64"/>
      <c r="S359" s="64"/>
      <c r="T359" s="64"/>
      <c r="U359" s="64"/>
      <c r="V359" s="64"/>
      <c r="W359" s="64"/>
      <c r="X359" s="64"/>
      <c r="Y359" s="64"/>
      <c r="Z359" s="64"/>
      <c r="AA359" s="64"/>
      <c r="AB359" s="64"/>
      <c r="AC359" s="64"/>
      <c r="AD359" s="64"/>
      <c r="AE359" s="134"/>
      <c r="AF359" s="134"/>
      <c r="AG359" s="113"/>
      <c r="BK359" s="107"/>
      <c r="BL359" s="107"/>
      <c r="BM359" s="107"/>
      <c r="BN359" s="107"/>
      <c r="BO359" s="107"/>
    </row>
    <row r="360" spans="2:67">
      <c r="B360" s="7"/>
      <c r="C360" s="7"/>
      <c r="D360" s="7"/>
      <c r="E360" s="7"/>
      <c r="F360" s="7"/>
      <c r="G360" s="7"/>
      <c r="H360" s="7"/>
      <c r="I360" s="7"/>
      <c r="J360" s="7"/>
      <c r="K360" s="7"/>
      <c r="L360" s="7"/>
      <c r="M360" s="7"/>
      <c r="N360" s="7"/>
      <c r="O360" s="7"/>
      <c r="P360" s="7"/>
      <c r="Q360" s="7"/>
      <c r="R360" s="64"/>
      <c r="S360" s="64"/>
      <c r="T360" s="64"/>
      <c r="U360" s="64"/>
      <c r="V360" s="64"/>
      <c r="W360" s="64"/>
      <c r="X360" s="64"/>
      <c r="Y360" s="64"/>
      <c r="Z360" s="64"/>
      <c r="AA360" s="64"/>
      <c r="AB360" s="64"/>
      <c r="AC360" s="64"/>
      <c r="AD360" s="64"/>
      <c r="AE360" s="134"/>
      <c r="AF360" s="134"/>
      <c r="AG360" s="113"/>
      <c r="BK360" s="107"/>
      <c r="BL360" s="107"/>
      <c r="BM360" s="107"/>
      <c r="BN360" s="107"/>
      <c r="BO360" s="107"/>
    </row>
    <row r="361" spans="2:67">
      <c r="B361" s="7"/>
      <c r="C361" s="7"/>
      <c r="D361" s="7"/>
      <c r="E361" s="7"/>
      <c r="F361" s="7"/>
      <c r="G361" s="7"/>
      <c r="H361" s="7"/>
      <c r="I361" s="7"/>
      <c r="J361" s="7"/>
      <c r="K361" s="7"/>
      <c r="L361" s="7"/>
      <c r="M361" s="7"/>
      <c r="N361" s="7"/>
      <c r="O361" s="7"/>
      <c r="P361" s="7"/>
      <c r="Q361" s="7"/>
      <c r="R361" s="64"/>
      <c r="S361" s="64"/>
      <c r="T361" s="64"/>
      <c r="U361" s="64"/>
      <c r="V361" s="64"/>
      <c r="W361" s="64"/>
      <c r="X361" s="64"/>
      <c r="Y361" s="64"/>
      <c r="Z361" s="64"/>
      <c r="AA361" s="64"/>
      <c r="AB361" s="64"/>
      <c r="AC361" s="64"/>
      <c r="AD361" s="64"/>
      <c r="AE361" s="134"/>
      <c r="AF361" s="134"/>
      <c r="AG361" s="113"/>
      <c r="BK361" s="107"/>
      <c r="BL361" s="107"/>
      <c r="BM361" s="107"/>
      <c r="BN361" s="107"/>
      <c r="BO361" s="107"/>
    </row>
    <row r="362" spans="2:67">
      <c r="B362" s="7"/>
      <c r="C362" s="7"/>
      <c r="D362" s="7"/>
      <c r="E362" s="7"/>
      <c r="F362" s="7"/>
      <c r="G362" s="7"/>
      <c r="H362" s="7"/>
      <c r="I362" s="7"/>
      <c r="J362" s="7"/>
      <c r="K362" s="7"/>
      <c r="L362" s="7"/>
      <c r="M362" s="7"/>
      <c r="N362" s="7"/>
      <c r="O362" s="7"/>
      <c r="P362" s="7"/>
      <c r="Q362" s="7"/>
      <c r="R362" s="64"/>
      <c r="S362" s="64"/>
      <c r="T362" s="64"/>
      <c r="U362" s="64"/>
      <c r="V362" s="64"/>
      <c r="W362" s="64"/>
      <c r="X362" s="64"/>
      <c r="Y362" s="64"/>
      <c r="Z362" s="64"/>
      <c r="AA362" s="64"/>
      <c r="AB362" s="64"/>
      <c r="AC362" s="64"/>
      <c r="AD362" s="64"/>
      <c r="AE362" s="134"/>
      <c r="AF362" s="134"/>
      <c r="AG362" s="113"/>
      <c r="BK362" s="107"/>
      <c r="BL362" s="107"/>
      <c r="BM362" s="107"/>
      <c r="BN362" s="107"/>
      <c r="BO362" s="107"/>
    </row>
    <row r="363" spans="2:67">
      <c r="B363" s="7"/>
      <c r="C363" s="7"/>
      <c r="D363" s="7"/>
      <c r="E363" s="7"/>
      <c r="F363" s="7"/>
      <c r="G363" s="7"/>
      <c r="H363" s="7"/>
      <c r="I363" s="7"/>
      <c r="J363" s="7"/>
      <c r="K363" s="7"/>
      <c r="L363" s="7"/>
      <c r="M363" s="7"/>
      <c r="N363" s="7"/>
      <c r="O363" s="7"/>
      <c r="P363" s="7"/>
      <c r="Q363" s="7"/>
      <c r="R363" s="64"/>
      <c r="S363" s="64"/>
      <c r="T363" s="64"/>
      <c r="U363" s="64"/>
      <c r="V363" s="64"/>
      <c r="W363" s="64"/>
      <c r="X363" s="64"/>
      <c r="Y363" s="64"/>
      <c r="Z363" s="64"/>
      <c r="AA363" s="64"/>
      <c r="AB363" s="64"/>
      <c r="AC363" s="64"/>
      <c r="AD363" s="64"/>
      <c r="AE363" s="134"/>
      <c r="AF363" s="134"/>
      <c r="AG363" s="113"/>
      <c r="AO363" s="108"/>
      <c r="AP363" s="108"/>
      <c r="AQ363" s="108"/>
      <c r="AR363" s="108"/>
      <c r="AS363" s="108"/>
      <c r="AT363" s="108"/>
      <c r="AU363" s="108"/>
      <c r="AV363" s="108"/>
      <c r="AW363" s="108"/>
      <c r="AX363" s="108"/>
      <c r="AY363" s="108"/>
      <c r="AZ363" s="108"/>
      <c r="BA363" s="108"/>
      <c r="BB363" s="108"/>
      <c r="BC363" s="108"/>
      <c r="BD363" s="108"/>
      <c r="BE363" s="109"/>
      <c r="BF363" s="109"/>
      <c r="BG363" s="109"/>
      <c r="BH363" s="108"/>
      <c r="BI363" s="108"/>
      <c r="BJ363" s="108"/>
      <c r="BK363" s="108"/>
      <c r="BL363" s="108"/>
      <c r="BM363" s="108"/>
      <c r="BN363" s="108"/>
      <c r="BO363" s="108"/>
    </row>
    <row r="364" spans="2:67">
      <c r="B364" s="7"/>
      <c r="C364" s="7"/>
      <c r="D364" s="7"/>
      <c r="E364" s="7"/>
      <c r="F364" s="7"/>
      <c r="G364" s="7"/>
      <c r="H364" s="7"/>
      <c r="I364" s="7"/>
      <c r="J364" s="7"/>
      <c r="K364" s="7"/>
      <c r="L364" s="7"/>
      <c r="M364" s="7"/>
      <c r="N364" s="7"/>
      <c r="O364" s="7"/>
      <c r="P364" s="7"/>
      <c r="Q364" s="7"/>
      <c r="R364" s="64"/>
      <c r="S364" s="64"/>
      <c r="T364" s="64"/>
      <c r="U364" s="64"/>
      <c r="V364" s="64"/>
      <c r="W364" s="64"/>
      <c r="X364" s="64"/>
      <c r="Y364" s="64"/>
      <c r="Z364" s="64"/>
      <c r="AA364" s="64"/>
      <c r="AB364" s="64"/>
      <c r="AC364" s="64"/>
      <c r="AD364" s="64"/>
      <c r="AE364" s="134"/>
      <c r="AF364" s="134"/>
      <c r="AG364" s="113"/>
      <c r="AO364" s="108"/>
      <c r="AP364" s="108"/>
      <c r="AQ364" s="108"/>
      <c r="AR364" s="108"/>
      <c r="AS364" s="108"/>
      <c r="AT364" s="108"/>
      <c r="AU364" s="108"/>
      <c r="AV364" s="108"/>
      <c r="AW364" s="108"/>
      <c r="AX364" s="108"/>
      <c r="AY364" s="108"/>
      <c r="AZ364" s="108"/>
      <c r="BA364" s="108"/>
      <c r="BB364" s="108"/>
      <c r="BC364" s="108"/>
      <c r="BD364" s="108"/>
      <c r="BE364" s="109"/>
      <c r="BF364" s="109"/>
      <c r="BG364" s="109"/>
      <c r="BH364" s="108"/>
      <c r="BI364" s="108"/>
      <c r="BJ364" s="108"/>
      <c r="BK364" s="108"/>
      <c r="BL364" s="108"/>
      <c r="BM364" s="108"/>
      <c r="BN364" s="108"/>
      <c r="BO364" s="108"/>
    </row>
    <row r="365" spans="2:67">
      <c r="B365" s="7"/>
      <c r="C365" s="7"/>
      <c r="D365" s="7"/>
      <c r="E365" s="7"/>
      <c r="F365" s="7"/>
      <c r="G365" s="7"/>
      <c r="H365" s="7"/>
      <c r="I365" s="7"/>
      <c r="J365" s="7"/>
      <c r="K365" s="7"/>
      <c r="L365" s="7"/>
      <c r="M365" s="7"/>
      <c r="N365" s="7"/>
      <c r="O365" s="7"/>
      <c r="P365" s="7"/>
      <c r="Q365" s="7"/>
      <c r="R365" s="64"/>
      <c r="S365" s="64"/>
      <c r="T365" s="64"/>
      <c r="U365" s="64"/>
      <c r="V365" s="64"/>
      <c r="W365" s="64"/>
      <c r="X365" s="64"/>
      <c r="Y365" s="64"/>
      <c r="Z365" s="64"/>
      <c r="AA365" s="64"/>
      <c r="AB365" s="64"/>
      <c r="AC365" s="64"/>
      <c r="AD365" s="64"/>
      <c r="AE365" s="134"/>
      <c r="AF365" s="134"/>
      <c r="AG365" s="113"/>
      <c r="AO365" s="108"/>
      <c r="AP365" s="108"/>
      <c r="AQ365" s="108"/>
      <c r="AR365" s="108"/>
      <c r="AS365" s="108"/>
      <c r="AT365" s="108"/>
      <c r="AU365" s="108"/>
      <c r="AV365" s="108"/>
      <c r="AW365" s="108"/>
      <c r="AX365" s="108"/>
      <c r="AY365" s="108"/>
      <c r="AZ365" s="108"/>
      <c r="BA365" s="108"/>
      <c r="BB365" s="108"/>
      <c r="BC365" s="108"/>
      <c r="BD365" s="108"/>
      <c r="BE365" s="109"/>
      <c r="BF365" s="109"/>
      <c r="BG365" s="109"/>
      <c r="BH365" s="108"/>
      <c r="BI365" s="108"/>
      <c r="BJ365" s="108"/>
      <c r="BK365" s="108"/>
      <c r="BL365" s="108"/>
      <c r="BM365" s="108"/>
      <c r="BN365" s="108"/>
      <c r="BO365" s="108"/>
    </row>
    <row r="366" spans="2:67">
      <c r="B366" s="7"/>
      <c r="C366" s="7"/>
      <c r="D366" s="7"/>
      <c r="E366" s="7"/>
      <c r="F366" s="7"/>
      <c r="G366" s="7"/>
      <c r="H366" s="7"/>
      <c r="I366" s="7"/>
      <c r="J366" s="7"/>
      <c r="K366" s="7"/>
      <c r="L366" s="7"/>
      <c r="M366" s="7"/>
      <c r="N366" s="7"/>
      <c r="O366" s="7"/>
      <c r="P366" s="7"/>
      <c r="Q366" s="7"/>
      <c r="R366" s="64"/>
      <c r="S366" s="64"/>
      <c r="T366" s="64"/>
      <c r="U366" s="64"/>
      <c r="V366" s="64"/>
      <c r="W366" s="64"/>
      <c r="X366" s="64"/>
      <c r="Y366" s="64"/>
      <c r="Z366" s="64"/>
      <c r="AA366" s="64"/>
      <c r="AB366" s="64"/>
      <c r="AC366" s="64"/>
      <c r="AD366" s="64"/>
      <c r="AE366" s="134"/>
      <c r="AF366" s="134"/>
      <c r="AG366" s="113"/>
      <c r="AO366" s="108"/>
      <c r="AP366" s="108"/>
      <c r="AQ366" s="108"/>
      <c r="AR366" s="108"/>
      <c r="AS366" s="108"/>
      <c r="AT366" s="108"/>
      <c r="AU366" s="108"/>
      <c r="AV366" s="108"/>
      <c r="AW366" s="108"/>
      <c r="AX366" s="108"/>
      <c r="AY366" s="108"/>
      <c r="AZ366" s="108"/>
      <c r="BA366" s="108"/>
      <c r="BB366" s="108"/>
      <c r="BC366" s="108"/>
      <c r="BD366" s="108"/>
      <c r="BE366" s="109"/>
      <c r="BF366" s="109"/>
      <c r="BG366" s="109"/>
      <c r="BH366" s="108"/>
      <c r="BI366" s="108"/>
      <c r="BJ366" s="108"/>
      <c r="BK366" s="108"/>
      <c r="BL366" s="108"/>
      <c r="BM366" s="108"/>
      <c r="BN366" s="108"/>
      <c r="BO366" s="108"/>
    </row>
    <row r="367" spans="2:67">
      <c r="B367" s="7"/>
      <c r="C367" s="7"/>
      <c r="D367" s="7"/>
      <c r="E367" s="7"/>
      <c r="F367" s="7"/>
      <c r="G367" s="7"/>
      <c r="H367" s="7"/>
      <c r="I367" s="7"/>
      <c r="J367" s="7"/>
      <c r="K367" s="7"/>
      <c r="L367" s="7"/>
      <c r="M367" s="7"/>
      <c r="N367" s="7"/>
      <c r="O367" s="7"/>
      <c r="P367" s="7"/>
      <c r="Q367" s="7"/>
      <c r="R367" s="64"/>
      <c r="S367" s="64"/>
      <c r="T367" s="64"/>
      <c r="U367" s="64"/>
      <c r="V367" s="64"/>
      <c r="W367" s="64"/>
      <c r="X367" s="64"/>
      <c r="Y367" s="64"/>
      <c r="Z367" s="64"/>
      <c r="AA367" s="64"/>
      <c r="AB367" s="64"/>
      <c r="AC367" s="64"/>
      <c r="AD367" s="64"/>
      <c r="AE367" s="134"/>
      <c r="AF367" s="134"/>
      <c r="AG367" s="113"/>
      <c r="AO367" s="108"/>
      <c r="AP367" s="108"/>
      <c r="AQ367" s="108"/>
      <c r="AR367" s="108"/>
      <c r="AS367" s="108"/>
      <c r="AT367" s="108"/>
      <c r="AU367" s="108"/>
      <c r="AV367" s="108"/>
      <c r="AW367" s="108"/>
      <c r="AX367" s="108"/>
      <c r="AY367" s="108"/>
      <c r="AZ367" s="108"/>
      <c r="BA367" s="108"/>
      <c r="BB367" s="108"/>
      <c r="BC367" s="108"/>
      <c r="BD367" s="108"/>
      <c r="BE367" s="109"/>
      <c r="BF367" s="109"/>
      <c r="BG367" s="109"/>
      <c r="BH367" s="108"/>
      <c r="BI367" s="108"/>
      <c r="BJ367" s="108"/>
      <c r="BK367" s="108"/>
      <c r="BL367" s="108"/>
      <c r="BM367" s="108"/>
      <c r="BN367" s="108"/>
      <c r="BO367" s="108"/>
    </row>
    <row r="368" spans="2:67">
      <c r="B368" s="7"/>
      <c r="C368" s="7"/>
      <c r="D368" s="7"/>
      <c r="E368" s="7"/>
      <c r="F368" s="7"/>
      <c r="G368" s="7"/>
      <c r="H368" s="7"/>
      <c r="I368" s="7"/>
      <c r="J368" s="7"/>
      <c r="K368" s="7"/>
      <c r="L368" s="7"/>
      <c r="M368" s="7"/>
      <c r="N368" s="7"/>
      <c r="O368" s="7"/>
      <c r="P368" s="7"/>
      <c r="Q368" s="7"/>
      <c r="R368" s="64"/>
      <c r="S368" s="64"/>
      <c r="T368" s="64"/>
      <c r="U368" s="64"/>
      <c r="V368" s="64"/>
      <c r="W368" s="64"/>
      <c r="X368" s="64"/>
      <c r="Y368" s="64"/>
      <c r="Z368" s="64"/>
      <c r="AA368" s="64"/>
      <c r="AB368" s="64"/>
      <c r="AC368" s="64"/>
      <c r="AD368" s="64"/>
      <c r="AE368" s="134"/>
      <c r="AF368" s="134"/>
      <c r="AG368" s="113"/>
      <c r="AO368" s="108"/>
      <c r="AP368" s="108"/>
      <c r="AQ368" s="108"/>
      <c r="AR368" s="108"/>
      <c r="AS368" s="108"/>
      <c r="AT368" s="108"/>
      <c r="AU368" s="108"/>
      <c r="AV368" s="108"/>
      <c r="AW368" s="108"/>
      <c r="AX368" s="108"/>
      <c r="AY368" s="108"/>
      <c r="AZ368" s="108"/>
      <c r="BA368" s="108"/>
      <c r="BB368" s="108"/>
      <c r="BC368" s="108"/>
      <c r="BD368" s="108"/>
      <c r="BE368" s="109"/>
      <c r="BF368" s="109"/>
      <c r="BG368" s="109"/>
      <c r="BH368" s="108"/>
      <c r="BI368" s="108"/>
      <c r="BJ368" s="108"/>
      <c r="BK368" s="108"/>
      <c r="BL368" s="108"/>
      <c r="BM368" s="108"/>
      <c r="BN368" s="108"/>
      <c r="BO368" s="108"/>
    </row>
    <row r="369" spans="2:67">
      <c r="B369" s="7"/>
      <c r="C369" s="7"/>
      <c r="D369" s="7"/>
      <c r="E369" s="7"/>
      <c r="F369" s="7"/>
      <c r="G369" s="7"/>
      <c r="H369" s="7"/>
      <c r="I369" s="7"/>
      <c r="J369" s="7"/>
      <c r="K369" s="7"/>
      <c r="L369" s="7"/>
      <c r="M369" s="7"/>
      <c r="N369" s="7"/>
      <c r="O369" s="7"/>
      <c r="P369" s="7"/>
      <c r="Q369" s="7"/>
      <c r="R369" s="64"/>
      <c r="S369" s="64"/>
      <c r="T369" s="64"/>
      <c r="U369" s="64"/>
      <c r="V369" s="64"/>
      <c r="W369" s="64"/>
      <c r="X369" s="64"/>
      <c r="Y369" s="64"/>
      <c r="Z369" s="64"/>
      <c r="AA369" s="64"/>
      <c r="AB369" s="64"/>
      <c r="AC369" s="64"/>
      <c r="AD369" s="64"/>
      <c r="AE369" s="134"/>
      <c r="AF369" s="134"/>
      <c r="AG369" s="113"/>
      <c r="AO369" s="108"/>
      <c r="AP369" s="108"/>
      <c r="AQ369" s="108"/>
      <c r="AR369" s="108"/>
      <c r="AS369" s="108"/>
      <c r="AT369" s="108"/>
      <c r="AU369" s="108"/>
      <c r="AV369" s="108"/>
      <c r="AW369" s="108"/>
      <c r="AX369" s="108"/>
      <c r="AY369" s="108"/>
      <c r="AZ369" s="108"/>
      <c r="BA369" s="108"/>
      <c r="BB369" s="108"/>
      <c r="BC369" s="108"/>
      <c r="BD369" s="108"/>
      <c r="BE369" s="109"/>
      <c r="BF369" s="109"/>
      <c r="BG369" s="109"/>
      <c r="BH369" s="108"/>
      <c r="BI369" s="108"/>
      <c r="BJ369" s="108"/>
      <c r="BK369" s="108"/>
      <c r="BL369" s="108"/>
      <c r="BM369" s="108"/>
      <c r="BN369" s="108"/>
      <c r="BO369" s="108"/>
    </row>
    <row r="370" spans="2:67">
      <c r="B370" s="7"/>
      <c r="C370" s="7"/>
      <c r="D370" s="7"/>
      <c r="E370" s="7"/>
      <c r="F370" s="7"/>
      <c r="G370" s="7"/>
      <c r="H370" s="7"/>
      <c r="I370" s="7"/>
      <c r="J370" s="7"/>
      <c r="K370" s="7"/>
      <c r="L370" s="7"/>
      <c r="M370" s="7"/>
      <c r="N370" s="7"/>
      <c r="O370" s="7"/>
      <c r="P370" s="7"/>
      <c r="Q370" s="7"/>
      <c r="R370" s="64"/>
      <c r="S370" s="64"/>
      <c r="T370" s="64"/>
      <c r="U370" s="64"/>
      <c r="V370" s="64"/>
      <c r="W370" s="64"/>
      <c r="X370" s="64"/>
      <c r="Y370" s="64"/>
      <c r="Z370" s="64"/>
      <c r="AA370" s="64"/>
      <c r="AB370" s="64"/>
      <c r="AC370" s="64"/>
      <c r="AD370" s="64"/>
      <c r="AE370" s="134"/>
      <c r="AF370" s="134"/>
      <c r="AG370" s="113"/>
      <c r="AO370" s="108"/>
      <c r="AP370" s="108"/>
      <c r="AQ370" s="108"/>
      <c r="AR370" s="108"/>
      <c r="AS370" s="108"/>
      <c r="AT370" s="108"/>
      <c r="AU370" s="108"/>
      <c r="AV370" s="108"/>
      <c r="AW370" s="108"/>
      <c r="AX370" s="108"/>
      <c r="AY370" s="108"/>
      <c r="AZ370" s="108"/>
      <c r="BA370" s="108"/>
      <c r="BB370" s="108"/>
      <c r="BC370" s="108"/>
      <c r="BD370" s="108"/>
      <c r="BE370" s="109"/>
      <c r="BF370" s="109"/>
      <c r="BG370" s="109"/>
      <c r="BH370" s="108"/>
      <c r="BI370" s="108"/>
      <c r="BJ370" s="108"/>
      <c r="BK370" s="108"/>
      <c r="BL370" s="108"/>
      <c r="BM370" s="108"/>
      <c r="BN370" s="108"/>
      <c r="BO370" s="108"/>
    </row>
    <row r="371" spans="2:67">
      <c r="B371" s="7"/>
      <c r="C371" s="7"/>
      <c r="D371" s="7"/>
      <c r="E371" s="7"/>
      <c r="F371" s="7"/>
      <c r="G371" s="7"/>
      <c r="H371" s="7"/>
      <c r="I371" s="7"/>
      <c r="J371" s="7"/>
      <c r="K371" s="7"/>
      <c r="L371" s="7"/>
      <c r="M371" s="7"/>
      <c r="N371" s="7"/>
      <c r="O371" s="7"/>
      <c r="P371" s="7"/>
      <c r="Q371" s="7"/>
      <c r="R371" s="64"/>
      <c r="S371" s="64"/>
      <c r="T371" s="64"/>
      <c r="U371" s="64"/>
      <c r="V371" s="64"/>
      <c r="W371" s="64"/>
      <c r="X371" s="64"/>
      <c r="Y371" s="64"/>
      <c r="Z371" s="64"/>
      <c r="AA371" s="64"/>
      <c r="AB371" s="64"/>
      <c r="AC371" s="64"/>
      <c r="AD371" s="64"/>
      <c r="AE371" s="134"/>
      <c r="AF371" s="134"/>
      <c r="AG371" s="113"/>
      <c r="AO371" s="108"/>
      <c r="AP371" s="108"/>
      <c r="AQ371" s="108"/>
      <c r="AR371" s="108"/>
      <c r="AS371" s="108"/>
      <c r="AT371" s="108"/>
      <c r="AU371" s="108"/>
      <c r="AV371" s="108"/>
      <c r="AW371" s="108"/>
      <c r="AX371" s="108"/>
      <c r="AY371" s="108"/>
      <c r="AZ371" s="108"/>
      <c r="BA371" s="108"/>
      <c r="BB371" s="108"/>
      <c r="BC371" s="108"/>
      <c r="BD371" s="108"/>
      <c r="BE371" s="109"/>
      <c r="BF371" s="109"/>
      <c r="BG371" s="109"/>
      <c r="BH371" s="108"/>
      <c r="BI371" s="108"/>
      <c r="BJ371" s="108"/>
      <c r="BK371" s="108"/>
      <c r="BL371" s="108"/>
      <c r="BM371" s="108"/>
      <c r="BN371" s="108"/>
      <c r="BO371" s="108"/>
    </row>
    <row r="372" spans="2:67">
      <c r="B372" s="7"/>
      <c r="C372" s="7"/>
      <c r="D372" s="7"/>
      <c r="E372" s="7"/>
      <c r="F372" s="7"/>
      <c r="G372" s="7"/>
      <c r="H372" s="7"/>
      <c r="I372" s="7"/>
      <c r="J372" s="7"/>
      <c r="K372" s="7"/>
      <c r="L372" s="7"/>
      <c r="M372" s="7"/>
      <c r="N372" s="7"/>
      <c r="O372" s="7"/>
      <c r="P372" s="7"/>
      <c r="Q372" s="7"/>
      <c r="R372" s="64"/>
      <c r="S372" s="64"/>
      <c r="T372" s="64"/>
      <c r="U372" s="64"/>
      <c r="V372" s="64"/>
      <c r="W372" s="64"/>
      <c r="X372" s="64"/>
      <c r="Y372" s="64"/>
      <c r="Z372" s="64"/>
      <c r="AA372" s="64"/>
      <c r="AB372" s="64"/>
      <c r="AC372" s="64"/>
      <c r="AD372" s="64"/>
      <c r="AE372" s="134"/>
      <c r="AF372" s="134"/>
      <c r="AG372" s="113"/>
      <c r="AO372" s="108"/>
      <c r="AP372" s="108"/>
      <c r="AQ372" s="108"/>
      <c r="AR372" s="108"/>
      <c r="AS372" s="108"/>
      <c r="AT372" s="108"/>
      <c r="AU372" s="108"/>
      <c r="AV372" s="108"/>
      <c r="AW372" s="108"/>
      <c r="AX372" s="108"/>
      <c r="AY372" s="108"/>
      <c r="AZ372" s="108"/>
      <c r="BA372" s="108"/>
      <c r="BB372" s="108"/>
      <c r="BC372" s="108"/>
      <c r="BD372" s="108"/>
      <c r="BE372" s="109"/>
      <c r="BF372" s="109"/>
      <c r="BG372" s="109"/>
      <c r="BH372" s="108"/>
      <c r="BI372" s="108"/>
      <c r="BJ372" s="108"/>
      <c r="BK372" s="108"/>
      <c r="BL372" s="108"/>
      <c r="BM372" s="108"/>
      <c r="BN372" s="108"/>
      <c r="BO372" s="108"/>
    </row>
    <row r="373" spans="2:67">
      <c r="B373" s="7"/>
      <c r="C373" s="7"/>
      <c r="D373" s="7"/>
      <c r="E373" s="7"/>
      <c r="F373" s="7"/>
      <c r="G373" s="7"/>
      <c r="H373" s="7"/>
      <c r="I373" s="7"/>
      <c r="J373" s="7"/>
      <c r="K373" s="7"/>
      <c r="L373" s="7"/>
      <c r="M373" s="7"/>
      <c r="N373" s="7"/>
      <c r="O373" s="7"/>
      <c r="P373" s="7"/>
      <c r="Q373" s="7"/>
      <c r="R373" s="64"/>
      <c r="S373" s="64"/>
      <c r="T373" s="64"/>
      <c r="U373" s="64"/>
      <c r="V373" s="64"/>
      <c r="W373" s="64"/>
      <c r="X373" s="64"/>
      <c r="Y373" s="64"/>
      <c r="Z373" s="64"/>
      <c r="AA373" s="64"/>
      <c r="AB373" s="64"/>
      <c r="AC373" s="64"/>
      <c r="AD373" s="64"/>
      <c r="AE373" s="134"/>
      <c r="AF373" s="134"/>
      <c r="AG373" s="113"/>
      <c r="AO373" s="108"/>
      <c r="AP373" s="108"/>
      <c r="AQ373" s="108"/>
      <c r="AR373" s="108"/>
      <c r="AS373" s="108"/>
      <c r="AT373" s="108"/>
      <c r="AU373" s="108"/>
      <c r="AV373" s="108"/>
      <c r="AW373" s="108"/>
      <c r="AX373" s="108"/>
      <c r="AY373" s="108"/>
      <c r="AZ373" s="108"/>
      <c r="BA373" s="108"/>
      <c r="BB373" s="108"/>
      <c r="BC373" s="108"/>
      <c r="BD373" s="108"/>
      <c r="BE373" s="109"/>
      <c r="BF373" s="109"/>
      <c r="BG373" s="109"/>
      <c r="BH373" s="108"/>
      <c r="BI373" s="108"/>
      <c r="BJ373" s="108"/>
      <c r="BK373" s="108"/>
      <c r="BL373" s="108"/>
      <c r="BM373" s="108"/>
      <c r="BN373" s="108"/>
      <c r="BO373" s="108"/>
    </row>
    <row r="374" spans="2:67">
      <c r="B374" s="7"/>
      <c r="C374" s="7"/>
      <c r="D374" s="7"/>
      <c r="E374" s="7"/>
      <c r="F374" s="7"/>
      <c r="G374" s="7"/>
      <c r="H374" s="7"/>
      <c r="I374" s="7"/>
      <c r="J374" s="7"/>
      <c r="K374" s="7"/>
      <c r="L374" s="7"/>
      <c r="M374" s="7"/>
      <c r="N374" s="7"/>
      <c r="O374" s="7"/>
      <c r="P374" s="7"/>
      <c r="Q374" s="7"/>
      <c r="R374" s="64"/>
      <c r="S374" s="64"/>
      <c r="T374" s="64"/>
      <c r="U374" s="64"/>
      <c r="V374" s="64"/>
      <c r="W374" s="64"/>
      <c r="X374" s="64"/>
      <c r="Y374" s="64"/>
      <c r="Z374" s="64"/>
      <c r="AA374" s="64"/>
      <c r="AB374" s="64"/>
      <c r="AC374" s="64"/>
      <c r="AD374" s="64"/>
      <c r="AE374" s="134"/>
      <c r="AF374" s="134"/>
      <c r="AG374" s="113"/>
      <c r="AO374" s="108"/>
      <c r="AP374" s="108"/>
      <c r="AQ374" s="108"/>
      <c r="AR374" s="108"/>
      <c r="AS374" s="108"/>
      <c r="AT374" s="108"/>
      <c r="AU374" s="108"/>
      <c r="AV374" s="108"/>
      <c r="AW374" s="108"/>
      <c r="AX374" s="108"/>
      <c r="AY374" s="108"/>
      <c r="AZ374" s="108"/>
      <c r="BA374" s="108"/>
      <c r="BB374" s="108"/>
      <c r="BC374" s="108"/>
      <c r="BD374" s="108"/>
      <c r="BE374" s="109"/>
      <c r="BF374" s="109"/>
      <c r="BG374" s="109"/>
      <c r="BH374" s="108"/>
      <c r="BI374" s="108"/>
      <c r="BJ374" s="108"/>
      <c r="BK374" s="108"/>
      <c r="BL374" s="108"/>
      <c r="BM374" s="108"/>
      <c r="BN374" s="108"/>
      <c r="BO374" s="108"/>
    </row>
    <row r="375" spans="2:67">
      <c r="B375" s="7"/>
      <c r="C375" s="7"/>
      <c r="D375" s="7"/>
      <c r="E375" s="7"/>
      <c r="F375" s="7"/>
      <c r="G375" s="7"/>
      <c r="H375" s="7"/>
      <c r="I375" s="7"/>
      <c r="J375" s="7"/>
      <c r="K375" s="7"/>
      <c r="L375" s="7"/>
      <c r="M375" s="7"/>
      <c r="N375" s="7"/>
      <c r="O375" s="7"/>
      <c r="P375" s="7"/>
      <c r="Q375" s="7"/>
      <c r="R375" s="64"/>
      <c r="S375" s="64"/>
      <c r="T375" s="64"/>
      <c r="U375" s="64"/>
      <c r="V375" s="64"/>
      <c r="W375" s="64"/>
      <c r="X375" s="64"/>
      <c r="Y375" s="64"/>
      <c r="Z375" s="64"/>
      <c r="AA375" s="64"/>
      <c r="AB375" s="64"/>
      <c r="AC375" s="64"/>
      <c r="AD375" s="64"/>
      <c r="AE375" s="134"/>
      <c r="AF375" s="134"/>
      <c r="AG375" s="113"/>
      <c r="AO375" s="108"/>
      <c r="AP375" s="108"/>
      <c r="AQ375" s="108"/>
      <c r="AR375" s="108"/>
      <c r="AS375" s="108"/>
      <c r="AT375" s="108"/>
      <c r="AU375" s="108"/>
      <c r="AV375" s="108"/>
      <c r="AW375" s="108"/>
      <c r="AX375" s="108"/>
      <c r="AY375" s="108"/>
      <c r="AZ375" s="108"/>
      <c r="BA375" s="108"/>
      <c r="BB375" s="108"/>
      <c r="BC375" s="108"/>
      <c r="BD375" s="108"/>
      <c r="BE375" s="109"/>
      <c r="BF375" s="109"/>
      <c r="BG375" s="109"/>
      <c r="BH375" s="108"/>
      <c r="BI375" s="108"/>
      <c r="BJ375" s="108"/>
      <c r="BK375" s="108"/>
      <c r="BL375" s="108"/>
      <c r="BM375" s="108"/>
      <c r="BN375" s="108"/>
      <c r="BO375" s="108"/>
    </row>
    <row r="376" spans="2:67">
      <c r="B376" s="7"/>
      <c r="C376" s="7"/>
      <c r="D376" s="7"/>
      <c r="E376" s="7"/>
      <c r="F376" s="7"/>
      <c r="G376" s="7"/>
      <c r="H376" s="7"/>
      <c r="I376" s="7"/>
      <c r="J376" s="7"/>
      <c r="K376" s="7"/>
      <c r="L376" s="7"/>
      <c r="M376" s="7"/>
      <c r="N376" s="7"/>
      <c r="O376" s="7"/>
      <c r="P376" s="7"/>
      <c r="Q376" s="7"/>
      <c r="R376" s="64"/>
      <c r="S376" s="64"/>
      <c r="T376" s="64"/>
      <c r="U376" s="64"/>
      <c r="V376" s="64"/>
      <c r="W376" s="64"/>
      <c r="X376" s="64"/>
      <c r="Y376" s="64"/>
      <c r="Z376" s="64"/>
      <c r="AA376" s="64"/>
      <c r="AB376" s="64"/>
      <c r="AC376" s="64"/>
      <c r="AD376" s="64"/>
      <c r="AE376" s="134"/>
      <c r="AF376" s="134"/>
      <c r="AG376" s="113"/>
      <c r="AO376" s="108"/>
      <c r="AP376" s="108"/>
      <c r="AQ376" s="108"/>
      <c r="AR376" s="108"/>
      <c r="AS376" s="108"/>
      <c r="AT376" s="108"/>
      <c r="AU376" s="108"/>
      <c r="AV376" s="108"/>
      <c r="AW376" s="108"/>
      <c r="AX376" s="108"/>
      <c r="AY376" s="108"/>
      <c r="AZ376" s="108"/>
      <c r="BA376" s="108"/>
      <c r="BB376" s="108"/>
      <c r="BC376" s="108"/>
      <c r="BD376" s="108"/>
      <c r="BE376" s="109"/>
      <c r="BF376" s="109"/>
      <c r="BG376" s="109"/>
      <c r="BH376" s="108"/>
      <c r="BI376" s="108"/>
      <c r="BJ376" s="108"/>
      <c r="BK376" s="108"/>
      <c r="BL376" s="108"/>
      <c r="BM376" s="108"/>
      <c r="BN376" s="108"/>
      <c r="BO376" s="108"/>
    </row>
    <row r="377" spans="2:67">
      <c r="B377" s="7"/>
      <c r="C377" s="7"/>
      <c r="D377" s="7"/>
      <c r="E377" s="7"/>
      <c r="F377" s="7"/>
      <c r="G377" s="7"/>
      <c r="H377" s="7"/>
      <c r="I377" s="7"/>
      <c r="J377" s="7"/>
      <c r="K377" s="7"/>
      <c r="L377" s="7"/>
      <c r="M377" s="7"/>
      <c r="N377" s="7"/>
      <c r="O377" s="7"/>
      <c r="P377" s="7"/>
      <c r="Q377" s="7"/>
      <c r="R377" s="64"/>
      <c r="S377" s="64"/>
      <c r="T377" s="64"/>
      <c r="U377" s="64"/>
      <c r="V377" s="64"/>
      <c r="W377" s="64"/>
      <c r="X377" s="64"/>
      <c r="Y377" s="64"/>
      <c r="Z377" s="64"/>
      <c r="AA377" s="64"/>
      <c r="AB377" s="64"/>
      <c r="AC377" s="64"/>
      <c r="AD377" s="64"/>
      <c r="AE377" s="134"/>
      <c r="AF377" s="134"/>
      <c r="AG377" s="113"/>
      <c r="AO377" s="108"/>
      <c r="AP377" s="108"/>
      <c r="AQ377" s="108"/>
      <c r="AR377" s="108"/>
      <c r="AS377" s="108"/>
      <c r="AT377" s="108"/>
      <c r="AU377" s="108"/>
      <c r="AV377" s="108"/>
      <c r="AW377" s="108"/>
      <c r="AX377" s="108"/>
      <c r="AY377" s="108"/>
      <c r="AZ377" s="108"/>
      <c r="BA377" s="108"/>
      <c r="BB377" s="108"/>
      <c r="BC377" s="108"/>
      <c r="BD377" s="108"/>
      <c r="BE377" s="109"/>
      <c r="BF377" s="109"/>
      <c r="BG377" s="109"/>
      <c r="BH377" s="108"/>
      <c r="BI377" s="108"/>
      <c r="BJ377" s="108"/>
      <c r="BK377" s="108"/>
      <c r="BL377" s="108"/>
      <c r="BM377" s="108"/>
      <c r="BN377" s="108"/>
      <c r="BO377" s="108"/>
    </row>
    <row r="378" spans="2:67">
      <c r="B378" s="7"/>
      <c r="C378" s="7"/>
      <c r="D378" s="7"/>
      <c r="E378" s="7"/>
      <c r="F378" s="7"/>
      <c r="G378" s="7"/>
      <c r="H378" s="7"/>
      <c r="I378" s="7"/>
      <c r="J378" s="7"/>
      <c r="K378" s="7"/>
      <c r="L378" s="7"/>
      <c r="M378" s="7"/>
      <c r="N378" s="7"/>
      <c r="O378" s="7"/>
      <c r="P378" s="7"/>
      <c r="Q378" s="7"/>
      <c r="R378" s="64"/>
      <c r="S378" s="64"/>
      <c r="T378" s="64"/>
      <c r="U378" s="64"/>
      <c r="V378" s="64"/>
      <c r="W378" s="64"/>
      <c r="X378" s="64"/>
      <c r="Y378" s="64"/>
      <c r="Z378" s="64"/>
      <c r="AA378" s="64"/>
      <c r="AB378" s="64"/>
      <c r="AC378" s="64"/>
      <c r="AD378" s="64"/>
      <c r="AE378" s="134"/>
      <c r="AF378" s="134"/>
      <c r="AG378" s="113"/>
      <c r="AO378" s="108"/>
      <c r="AP378" s="108"/>
      <c r="AQ378" s="108"/>
      <c r="AR378" s="108"/>
      <c r="AS378" s="108"/>
      <c r="AT378" s="108"/>
      <c r="AU378" s="108"/>
      <c r="AV378" s="108"/>
      <c r="AW378" s="108"/>
      <c r="AX378" s="108"/>
      <c r="AY378" s="108"/>
      <c r="AZ378" s="108"/>
      <c r="BA378" s="108"/>
      <c r="BB378" s="108"/>
      <c r="BC378" s="108"/>
      <c r="BD378" s="108"/>
      <c r="BE378" s="109"/>
      <c r="BF378" s="109"/>
      <c r="BG378" s="109"/>
      <c r="BH378" s="108"/>
      <c r="BI378" s="108"/>
      <c r="BJ378" s="108"/>
      <c r="BK378" s="108"/>
      <c r="BL378" s="108"/>
      <c r="BM378" s="108"/>
      <c r="BN378" s="108"/>
      <c r="BO378" s="108"/>
    </row>
    <row r="379" spans="2:67">
      <c r="B379" s="7"/>
      <c r="C379" s="7"/>
      <c r="D379" s="7"/>
      <c r="E379" s="7"/>
      <c r="F379" s="7"/>
      <c r="G379" s="7"/>
      <c r="H379" s="7"/>
      <c r="I379" s="7"/>
      <c r="J379" s="7"/>
      <c r="K379" s="7"/>
      <c r="L379" s="7"/>
      <c r="M379" s="7"/>
      <c r="N379" s="7"/>
      <c r="O379" s="7"/>
      <c r="P379" s="7"/>
      <c r="Q379" s="7"/>
      <c r="R379" s="64"/>
      <c r="S379" s="64"/>
      <c r="T379" s="64"/>
      <c r="U379" s="64"/>
      <c r="V379" s="64"/>
      <c r="W379" s="64"/>
      <c r="X379" s="64"/>
      <c r="Y379" s="64"/>
      <c r="Z379" s="64"/>
      <c r="AA379" s="64"/>
      <c r="AB379" s="64"/>
      <c r="AC379" s="64"/>
      <c r="AD379" s="64"/>
      <c r="AE379" s="134"/>
      <c r="AF379" s="134"/>
      <c r="AG379" s="113"/>
      <c r="AO379" s="108"/>
      <c r="AP379" s="108"/>
      <c r="AQ379" s="108"/>
      <c r="AR379" s="108"/>
      <c r="AS379" s="108"/>
      <c r="AT379" s="108"/>
      <c r="AU379" s="108"/>
      <c r="AV379" s="108"/>
      <c r="AW379" s="108"/>
      <c r="AX379" s="108"/>
      <c r="AY379" s="108"/>
      <c r="AZ379" s="108"/>
      <c r="BA379" s="108"/>
      <c r="BB379" s="108"/>
      <c r="BC379" s="108"/>
      <c r="BD379" s="108"/>
      <c r="BE379" s="109"/>
      <c r="BF379" s="109"/>
      <c r="BG379" s="109"/>
      <c r="BH379" s="108"/>
      <c r="BI379" s="108"/>
      <c r="BJ379" s="108"/>
      <c r="BK379" s="108"/>
      <c r="BL379" s="108"/>
      <c r="BM379" s="108"/>
      <c r="BN379" s="108"/>
      <c r="BO379" s="108"/>
    </row>
    <row r="380" spans="2:67">
      <c r="B380" s="7"/>
      <c r="C380" s="7"/>
      <c r="D380" s="7"/>
      <c r="E380" s="7"/>
      <c r="F380" s="7"/>
      <c r="G380" s="7"/>
      <c r="H380" s="7"/>
      <c r="I380" s="7"/>
      <c r="J380" s="7"/>
      <c r="K380" s="7"/>
      <c r="L380" s="7"/>
      <c r="M380" s="7"/>
      <c r="N380" s="7"/>
      <c r="O380" s="7"/>
      <c r="P380" s="7"/>
      <c r="Q380" s="7"/>
      <c r="R380" s="64"/>
      <c r="S380" s="64"/>
      <c r="T380" s="64"/>
      <c r="U380" s="64"/>
      <c r="V380" s="64"/>
      <c r="W380" s="64"/>
      <c r="X380" s="64"/>
      <c r="Y380" s="64"/>
      <c r="Z380" s="64"/>
      <c r="AA380" s="64"/>
      <c r="AB380" s="64"/>
      <c r="AC380" s="64"/>
      <c r="AD380" s="64"/>
      <c r="AE380" s="134"/>
      <c r="AF380" s="134"/>
      <c r="AG380" s="113"/>
      <c r="AO380" s="108"/>
      <c r="AP380" s="108"/>
      <c r="AQ380" s="108"/>
      <c r="AR380" s="108"/>
      <c r="AS380" s="108"/>
      <c r="AT380" s="108"/>
      <c r="AU380" s="108"/>
      <c r="AV380" s="108"/>
      <c r="AW380" s="108"/>
      <c r="AX380" s="108"/>
      <c r="AY380" s="108"/>
      <c r="AZ380" s="108"/>
      <c r="BA380" s="108"/>
      <c r="BB380" s="108"/>
      <c r="BC380" s="108"/>
      <c r="BD380" s="108"/>
      <c r="BE380" s="109"/>
      <c r="BF380" s="109"/>
      <c r="BG380" s="109"/>
      <c r="BH380" s="108"/>
      <c r="BI380" s="108"/>
      <c r="BJ380" s="108"/>
      <c r="BK380" s="108"/>
      <c r="BL380" s="108"/>
      <c r="BM380" s="108"/>
      <c r="BN380" s="108"/>
      <c r="BO380" s="108"/>
    </row>
    <row r="381" spans="2:67">
      <c r="B381" s="7"/>
      <c r="C381" s="7"/>
      <c r="D381" s="7"/>
      <c r="E381" s="7"/>
      <c r="F381" s="7"/>
      <c r="G381" s="7"/>
      <c r="H381" s="7"/>
      <c r="I381" s="7"/>
      <c r="J381" s="7"/>
      <c r="K381" s="7"/>
      <c r="L381" s="7"/>
      <c r="M381" s="7"/>
      <c r="N381" s="7"/>
      <c r="O381" s="7"/>
      <c r="P381" s="7"/>
      <c r="Q381" s="7"/>
      <c r="R381" s="64"/>
      <c r="S381" s="64"/>
      <c r="T381" s="64"/>
      <c r="U381" s="64"/>
      <c r="V381" s="64"/>
      <c r="W381" s="64"/>
      <c r="X381" s="64"/>
      <c r="Y381" s="64"/>
      <c r="Z381" s="64"/>
      <c r="AA381" s="64"/>
      <c r="AB381" s="64"/>
      <c r="AC381" s="64"/>
      <c r="AD381" s="64"/>
      <c r="AE381" s="134"/>
      <c r="AF381" s="134"/>
      <c r="AG381" s="113"/>
      <c r="AO381" s="108"/>
      <c r="AP381" s="108"/>
      <c r="AQ381" s="108"/>
      <c r="AR381" s="108"/>
      <c r="AS381" s="108"/>
      <c r="AT381" s="108"/>
      <c r="AU381" s="108"/>
      <c r="AV381" s="108"/>
      <c r="AW381" s="108"/>
      <c r="AX381" s="108"/>
      <c r="AY381" s="108"/>
      <c r="AZ381" s="108"/>
      <c r="BA381" s="108"/>
      <c r="BB381" s="108"/>
      <c r="BC381" s="108"/>
      <c r="BD381" s="108"/>
      <c r="BE381" s="109"/>
      <c r="BF381" s="109"/>
      <c r="BG381" s="109"/>
      <c r="BH381" s="108"/>
      <c r="BI381" s="108"/>
      <c r="BJ381" s="108"/>
      <c r="BK381" s="108"/>
      <c r="BL381" s="108"/>
      <c r="BM381" s="108"/>
      <c r="BN381" s="108"/>
      <c r="BO381" s="108"/>
    </row>
    <row r="382" spans="2:67">
      <c r="B382" s="7"/>
      <c r="C382" s="7"/>
      <c r="D382" s="7"/>
      <c r="E382" s="7"/>
      <c r="F382" s="7"/>
      <c r="G382" s="7"/>
      <c r="H382" s="7"/>
      <c r="I382" s="7"/>
      <c r="J382" s="7"/>
      <c r="K382" s="7"/>
      <c r="L382" s="7"/>
      <c r="M382" s="7"/>
      <c r="N382" s="7"/>
      <c r="O382" s="7"/>
      <c r="P382" s="7"/>
      <c r="Q382" s="7"/>
      <c r="R382" s="64"/>
      <c r="S382" s="64"/>
      <c r="T382" s="64"/>
      <c r="U382" s="64"/>
      <c r="V382" s="64"/>
      <c r="W382" s="64"/>
      <c r="X382" s="64"/>
      <c r="Y382" s="64"/>
      <c r="Z382" s="64"/>
      <c r="AA382" s="64"/>
      <c r="AB382" s="64"/>
      <c r="AC382" s="64"/>
      <c r="AD382" s="64"/>
      <c r="AE382" s="134"/>
      <c r="AF382" s="134"/>
      <c r="AG382" s="113"/>
      <c r="AO382" s="108"/>
      <c r="AP382" s="108"/>
      <c r="AQ382" s="108"/>
      <c r="AR382" s="108"/>
      <c r="AS382" s="108"/>
      <c r="AT382" s="108"/>
      <c r="AU382" s="108"/>
      <c r="AV382" s="108"/>
      <c r="AW382" s="108"/>
      <c r="AX382" s="108"/>
      <c r="AY382" s="108"/>
      <c r="AZ382" s="108"/>
      <c r="BA382" s="108"/>
      <c r="BB382" s="108"/>
      <c r="BC382" s="108"/>
      <c r="BD382" s="108"/>
      <c r="BE382" s="109"/>
      <c r="BF382" s="109"/>
      <c r="BG382" s="109"/>
      <c r="BH382" s="108"/>
      <c r="BI382" s="108"/>
      <c r="BJ382" s="108"/>
      <c r="BK382" s="108"/>
      <c r="BL382" s="108"/>
      <c r="BM382" s="108"/>
      <c r="BN382" s="108"/>
      <c r="BO382" s="108"/>
    </row>
    <row r="383" spans="2:67">
      <c r="B383" s="7"/>
      <c r="C383" s="7"/>
      <c r="D383" s="7"/>
      <c r="E383" s="7"/>
      <c r="F383" s="7"/>
      <c r="G383" s="7"/>
      <c r="H383" s="7"/>
      <c r="I383" s="7"/>
      <c r="J383" s="7"/>
      <c r="K383" s="7"/>
      <c r="L383" s="7"/>
      <c r="M383" s="7"/>
      <c r="N383" s="7"/>
      <c r="O383" s="7"/>
      <c r="P383" s="7"/>
      <c r="Q383" s="7"/>
      <c r="R383" s="64"/>
      <c r="S383" s="64"/>
      <c r="T383" s="64"/>
      <c r="U383" s="64"/>
      <c r="V383" s="64"/>
      <c r="W383" s="64"/>
      <c r="X383" s="64"/>
      <c r="Y383" s="64"/>
      <c r="Z383" s="64"/>
      <c r="AA383" s="64"/>
      <c r="AB383" s="64"/>
      <c r="AC383" s="64"/>
      <c r="AD383" s="64"/>
      <c r="AE383" s="134"/>
      <c r="AF383" s="134"/>
      <c r="AG383" s="113"/>
      <c r="AO383" s="108"/>
      <c r="AP383" s="108"/>
      <c r="AQ383" s="108"/>
      <c r="AR383" s="108"/>
      <c r="AS383" s="108"/>
      <c r="AT383" s="108"/>
      <c r="AU383" s="108"/>
      <c r="AV383" s="108"/>
      <c r="AW383" s="108"/>
      <c r="AX383" s="108"/>
      <c r="AY383" s="108"/>
      <c r="AZ383" s="108"/>
      <c r="BA383" s="108"/>
      <c r="BB383" s="108"/>
      <c r="BC383" s="108"/>
      <c r="BD383" s="108"/>
      <c r="BE383" s="109"/>
      <c r="BF383" s="109"/>
      <c r="BG383" s="109"/>
      <c r="BH383" s="108"/>
      <c r="BI383" s="108"/>
      <c r="BJ383" s="108"/>
      <c r="BK383" s="108"/>
      <c r="BL383" s="108"/>
      <c r="BM383" s="108"/>
      <c r="BN383" s="108"/>
      <c r="BO383" s="108"/>
    </row>
    <row r="384" spans="2:67">
      <c r="B384" s="7"/>
      <c r="C384" s="7"/>
      <c r="D384" s="7"/>
      <c r="E384" s="7"/>
      <c r="F384" s="7"/>
      <c r="G384" s="7"/>
      <c r="H384" s="7"/>
      <c r="I384" s="7"/>
      <c r="J384" s="7"/>
      <c r="K384" s="7"/>
      <c r="L384" s="7"/>
      <c r="M384" s="7"/>
      <c r="N384" s="7"/>
      <c r="O384" s="7"/>
      <c r="P384" s="7"/>
      <c r="Q384" s="7"/>
      <c r="R384" s="64"/>
      <c r="S384" s="64"/>
      <c r="T384" s="64"/>
      <c r="U384" s="64"/>
      <c r="V384" s="64"/>
      <c r="W384" s="64"/>
      <c r="X384" s="64"/>
      <c r="Y384" s="64"/>
      <c r="Z384" s="64"/>
      <c r="AA384" s="64"/>
      <c r="AB384" s="64"/>
      <c r="AC384" s="64"/>
      <c r="AD384" s="64"/>
      <c r="AE384" s="134"/>
      <c r="AF384" s="134"/>
      <c r="AG384" s="113"/>
      <c r="AO384" s="108"/>
      <c r="AP384" s="108"/>
      <c r="AQ384" s="108"/>
      <c r="AR384" s="108"/>
      <c r="AS384" s="108"/>
      <c r="AT384" s="108"/>
      <c r="AU384" s="108"/>
      <c r="AV384" s="108"/>
      <c r="AW384" s="108"/>
      <c r="AX384" s="108"/>
      <c r="AY384" s="108"/>
      <c r="AZ384" s="108"/>
      <c r="BA384" s="108"/>
      <c r="BB384" s="108"/>
      <c r="BC384" s="108"/>
      <c r="BD384" s="108"/>
      <c r="BE384" s="109"/>
      <c r="BF384" s="109"/>
      <c r="BG384" s="109"/>
      <c r="BH384" s="108"/>
      <c r="BI384" s="108"/>
      <c r="BJ384" s="108"/>
      <c r="BK384" s="108"/>
      <c r="BL384" s="108"/>
      <c r="BM384" s="108"/>
      <c r="BN384" s="108"/>
      <c r="BO384" s="108"/>
    </row>
    <row r="385" spans="2:67">
      <c r="B385" s="7"/>
      <c r="C385" s="7"/>
      <c r="D385" s="7"/>
      <c r="E385" s="7"/>
      <c r="F385" s="7"/>
      <c r="G385" s="7"/>
      <c r="H385" s="7"/>
      <c r="I385" s="7"/>
      <c r="J385" s="7"/>
      <c r="K385" s="7"/>
      <c r="L385" s="7"/>
      <c r="M385" s="7"/>
      <c r="N385" s="7"/>
      <c r="O385" s="7"/>
      <c r="P385" s="7"/>
      <c r="Q385" s="7"/>
      <c r="R385" s="64"/>
      <c r="S385" s="64"/>
      <c r="T385" s="64"/>
      <c r="U385" s="64"/>
      <c r="V385" s="64"/>
      <c r="W385" s="64"/>
      <c r="X385" s="64"/>
      <c r="Y385" s="64"/>
      <c r="Z385" s="64"/>
      <c r="AA385" s="64"/>
      <c r="AB385" s="64"/>
      <c r="AC385" s="64"/>
      <c r="AD385" s="64"/>
      <c r="AE385" s="134"/>
      <c r="AF385" s="134"/>
      <c r="AG385" s="113"/>
      <c r="AO385" s="108"/>
      <c r="AP385" s="108"/>
      <c r="AQ385" s="108"/>
      <c r="AR385" s="108"/>
      <c r="AS385" s="108"/>
      <c r="AT385" s="108"/>
      <c r="AU385" s="108"/>
      <c r="AV385" s="108"/>
      <c r="AW385" s="108"/>
      <c r="AX385" s="108"/>
      <c r="AY385" s="108"/>
      <c r="AZ385" s="108"/>
      <c r="BA385" s="108"/>
      <c r="BB385" s="108"/>
      <c r="BC385" s="108"/>
      <c r="BD385" s="108"/>
      <c r="BE385" s="109"/>
      <c r="BF385" s="109"/>
      <c r="BG385" s="109"/>
      <c r="BH385" s="108"/>
      <c r="BI385" s="108"/>
      <c r="BJ385" s="108"/>
      <c r="BK385" s="108"/>
      <c r="BL385" s="108"/>
      <c r="BM385" s="108"/>
      <c r="BN385" s="108"/>
      <c r="BO385" s="108"/>
    </row>
    <row r="386" spans="2:67">
      <c r="B386" s="7"/>
      <c r="C386" s="7"/>
      <c r="D386" s="7"/>
      <c r="E386" s="7"/>
      <c r="F386" s="7"/>
      <c r="G386" s="7"/>
      <c r="H386" s="7"/>
      <c r="I386" s="7"/>
      <c r="J386" s="7"/>
      <c r="K386" s="7"/>
      <c r="L386" s="7"/>
      <c r="M386" s="7"/>
      <c r="N386" s="7"/>
      <c r="O386" s="7"/>
      <c r="P386" s="7"/>
      <c r="Q386" s="7"/>
      <c r="R386" s="64"/>
      <c r="S386" s="64"/>
      <c r="T386" s="64"/>
      <c r="U386" s="64"/>
      <c r="V386" s="64"/>
      <c r="W386" s="64"/>
      <c r="X386" s="64"/>
      <c r="Y386" s="64"/>
      <c r="Z386" s="64"/>
      <c r="AA386" s="64"/>
      <c r="AB386" s="64"/>
      <c r="AC386" s="64"/>
      <c r="AD386" s="64"/>
      <c r="AE386" s="134"/>
      <c r="AF386" s="134"/>
      <c r="AG386" s="113"/>
      <c r="AZ386" s="108"/>
      <c r="BA386" s="108"/>
      <c r="BB386" s="108"/>
      <c r="BC386" s="108"/>
      <c r="BD386" s="108"/>
      <c r="BE386" s="109"/>
      <c r="BF386" s="109"/>
      <c r="BG386" s="109"/>
      <c r="BH386" s="108"/>
      <c r="BI386" s="108"/>
      <c r="BJ386" s="108"/>
      <c r="BK386" s="108"/>
      <c r="BL386" s="108"/>
      <c r="BM386" s="108"/>
      <c r="BN386" s="108"/>
      <c r="BO386" s="108"/>
    </row>
    <row r="387" spans="2:67">
      <c r="B387" s="7"/>
      <c r="C387" s="7"/>
      <c r="D387" s="7"/>
      <c r="E387" s="7"/>
      <c r="F387" s="7"/>
      <c r="G387" s="7"/>
      <c r="H387" s="7"/>
      <c r="I387" s="7"/>
      <c r="J387" s="7"/>
      <c r="K387" s="7"/>
      <c r="L387" s="7"/>
      <c r="M387" s="7"/>
      <c r="N387" s="7"/>
      <c r="O387" s="7"/>
      <c r="P387" s="7"/>
      <c r="Q387" s="7"/>
      <c r="R387" s="64"/>
      <c r="S387" s="64"/>
      <c r="T387" s="64"/>
      <c r="U387" s="64"/>
      <c r="V387" s="64"/>
      <c r="W387" s="64"/>
      <c r="X387" s="64"/>
      <c r="Y387" s="64"/>
      <c r="Z387" s="64"/>
      <c r="AA387" s="64"/>
      <c r="AB387" s="64"/>
      <c r="AC387" s="64"/>
      <c r="AD387" s="64"/>
      <c r="AE387" s="134"/>
      <c r="AF387" s="134"/>
      <c r="AG387" s="113"/>
      <c r="AZ387" s="108"/>
      <c r="BA387" s="108"/>
      <c r="BB387" s="108"/>
      <c r="BC387" s="108"/>
      <c r="BD387" s="108"/>
      <c r="BE387" s="109"/>
      <c r="BF387" s="109"/>
      <c r="BG387" s="109"/>
      <c r="BH387" s="108"/>
      <c r="BI387" s="108"/>
      <c r="BJ387" s="108"/>
      <c r="BK387" s="108"/>
      <c r="BL387" s="108"/>
      <c r="BM387" s="108"/>
      <c r="BN387" s="108"/>
      <c r="BO387" s="108"/>
    </row>
    <row r="388" spans="2:67">
      <c r="B388" s="7"/>
      <c r="C388" s="7"/>
      <c r="D388" s="7"/>
      <c r="E388" s="7"/>
      <c r="F388" s="7"/>
      <c r="G388" s="7"/>
      <c r="H388" s="7"/>
      <c r="I388" s="7"/>
      <c r="J388" s="7"/>
      <c r="K388" s="7"/>
      <c r="L388" s="7"/>
      <c r="M388" s="7"/>
      <c r="N388" s="7"/>
      <c r="O388" s="7"/>
      <c r="P388" s="7"/>
      <c r="Q388" s="7"/>
      <c r="R388" s="64"/>
      <c r="S388" s="64"/>
      <c r="T388" s="64"/>
      <c r="U388" s="64"/>
      <c r="V388" s="64"/>
      <c r="W388" s="64"/>
      <c r="X388" s="64"/>
      <c r="Y388" s="64"/>
      <c r="Z388" s="64"/>
      <c r="AA388" s="64"/>
      <c r="AB388" s="64"/>
      <c r="AC388" s="64"/>
      <c r="AD388" s="64"/>
      <c r="AE388" s="134"/>
      <c r="AF388" s="134"/>
      <c r="AG388" s="113"/>
      <c r="AZ388" s="108"/>
      <c r="BA388" s="108"/>
      <c r="BB388" s="108"/>
      <c r="BC388" s="108"/>
      <c r="BD388" s="108"/>
      <c r="BE388" s="109"/>
      <c r="BF388" s="109"/>
      <c r="BG388" s="109"/>
      <c r="BH388" s="108"/>
      <c r="BI388" s="108"/>
      <c r="BJ388" s="108"/>
      <c r="BK388" s="108"/>
      <c r="BL388" s="108"/>
      <c r="BM388" s="108"/>
      <c r="BN388" s="108"/>
      <c r="BO388" s="108"/>
    </row>
    <row r="389" spans="2:67">
      <c r="B389" s="7"/>
      <c r="C389" s="7"/>
      <c r="D389" s="7"/>
      <c r="E389" s="7"/>
      <c r="F389" s="7"/>
      <c r="G389" s="7"/>
      <c r="H389" s="7"/>
      <c r="I389" s="7"/>
      <c r="J389" s="7"/>
      <c r="K389" s="7"/>
      <c r="L389" s="7"/>
      <c r="M389" s="7"/>
      <c r="N389" s="7"/>
      <c r="O389" s="7"/>
      <c r="P389" s="7"/>
      <c r="Q389" s="7"/>
      <c r="R389" s="64"/>
      <c r="S389" s="64"/>
      <c r="T389" s="64"/>
      <c r="U389" s="64"/>
      <c r="V389" s="64"/>
      <c r="W389" s="64"/>
      <c r="X389" s="64"/>
      <c r="Y389" s="64"/>
      <c r="Z389" s="64"/>
      <c r="AA389" s="64"/>
      <c r="AB389" s="64"/>
      <c r="AC389" s="64"/>
      <c r="AD389" s="64"/>
      <c r="AE389" s="134"/>
      <c r="AF389" s="134"/>
      <c r="AG389" s="113"/>
    </row>
    <row r="390" spans="2:67">
      <c r="B390" s="7"/>
      <c r="C390" s="7"/>
      <c r="D390" s="7"/>
      <c r="E390" s="7"/>
      <c r="F390" s="7"/>
      <c r="G390" s="7"/>
      <c r="H390" s="7"/>
      <c r="I390" s="7"/>
      <c r="J390" s="7"/>
      <c r="K390" s="7"/>
      <c r="L390" s="7"/>
      <c r="M390" s="7"/>
      <c r="N390" s="7"/>
      <c r="O390" s="7"/>
      <c r="P390" s="7"/>
      <c r="Q390" s="7"/>
      <c r="R390" s="64"/>
      <c r="S390" s="64"/>
      <c r="T390" s="64"/>
      <c r="U390" s="64"/>
      <c r="V390" s="64"/>
      <c r="W390" s="64"/>
      <c r="X390" s="64"/>
      <c r="Y390" s="64"/>
      <c r="Z390" s="64"/>
      <c r="AA390" s="64"/>
      <c r="AB390" s="64"/>
      <c r="AC390" s="64"/>
      <c r="AD390" s="64"/>
      <c r="AE390" s="134"/>
      <c r="AF390" s="134"/>
      <c r="AG390" s="113"/>
    </row>
    <row r="391" spans="2:67">
      <c r="B391" s="7"/>
      <c r="C391" s="7"/>
      <c r="D391" s="7"/>
      <c r="E391" s="7"/>
      <c r="F391" s="7"/>
      <c r="G391" s="7"/>
      <c r="H391" s="7"/>
      <c r="I391" s="7"/>
      <c r="J391" s="7"/>
      <c r="K391" s="7"/>
      <c r="L391" s="7"/>
      <c r="M391" s="7"/>
      <c r="N391" s="7"/>
      <c r="O391" s="7"/>
      <c r="P391" s="7"/>
      <c r="Q391" s="7"/>
      <c r="R391" s="64"/>
      <c r="S391" s="64"/>
      <c r="T391" s="64"/>
      <c r="U391" s="64"/>
      <c r="V391" s="64"/>
      <c r="W391" s="64"/>
      <c r="X391" s="64"/>
      <c r="Y391" s="64"/>
      <c r="Z391" s="64"/>
      <c r="AA391" s="64"/>
      <c r="AB391" s="64"/>
      <c r="AC391" s="64"/>
      <c r="AD391" s="64"/>
      <c r="AE391" s="134"/>
      <c r="AF391" s="134"/>
      <c r="AG391" s="113"/>
    </row>
    <row r="392" spans="2:67">
      <c r="B392" s="7"/>
      <c r="C392" s="7"/>
      <c r="D392" s="7"/>
      <c r="E392" s="7"/>
      <c r="F392" s="7"/>
      <c r="G392" s="7"/>
      <c r="H392" s="7"/>
      <c r="I392" s="7"/>
      <c r="J392" s="7"/>
      <c r="K392" s="7"/>
      <c r="L392" s="7"/>
      <c r="M392" s="7"/>
      <c r="N392" s="7"/>
      <c r="O392" s="7"/>
      <c r="P392" s="7"/>
      <c r="Q392" s="7"/>
      <c r="R392" s="64"/>
      <c r="S392" s="64"/>
      <c r="T392" s="64"/>
      <c r="U392" s="64"/>
      <c r="V392" s="64"/>
      <c r="W392" s="64"/>
      <c r="X392" s="64"/>
      <c r="Y392" s="64"/>
      <c r="Z392" s="64"/>
      <c r="AA392" s="64"/>
      <c r="AB392" s="64"/>
      <c r="AC392" s="64"/>
      <c r="AD392" s="64"/>
      <c r="AE392" s="134"/>
      <c r="AF392" s="134"/>
      <c r="AG392" s="113"/>
    </row>
    <row r="393" spans="2:67">
      <c r="B393" s="7"/>
      <c r="C393" s="7"/>
      <c r="D393" s="7"/>
      <c r="E393" s="7"/>
      <c r="F393" s="7"/>
      <c r="G393" s="7"/>
      <c r="H393" s="7"/>
      <c r="I393" s="7"/>
      <c r="J393" s="7"/>
      <c r="K393" s="7"/>
      <c r="L393" s="7"/>
      <c r="M393" s="7"/>
      <c r="N393" s="7"/>
      <c r="O393" s="7"/>
      <c r="P393" s="7"/>
      <c r="Q393" s="7"/>
      <c r="R393" s="64"/>
      <c r="S393" s="64"/>
      <c r="T393" s="64"/>
      <c r="U393" s="64"/>
      <c r="V393" s="64"/>
      <c r="W393" s="64"/>
      <c r="X393" s="64"/>
      <c r="Y393" s="64"/>
      <c r="Z393" s="64"/>
      <c r="AA393" s="64"/>
      <c r="AB393" s="64"/>
      <c r="AC393" s="64"/>
      <c r="AD393" s="64"/>
      <c r="AE393" s="134"/>
      <c r="AF393" s="134"/>
      <c r="AG393" s="113"/>
    </row>
    <row r="394" spans="2:67">
      <c r="B394" s="7"/>
      <c r="C394" s="7"/>
      <c r="D394" s="7"/>
      <c r="E394" s="7"/>
      <c r="F394" s="7"/>
      <c r="G394" s="7"/>
      <c r="H394" s="7"/>
      <c r="I394" s="7"/>
      <c r="J394" s="7"/>
      <c r="K394" s="7"/>
      <c r="L394" s="7"/>
      <c r="M394" s="7"/>
      <c r="N394" s="7"/>
      <c r="O394" s="7"/>
      <c r="P394" s="7"/>
      <c r="Q394" s="7"/>
      <c r="R394" s="64"/>
      <c r="S394" s="64"/>
      <c r="T394" s="64"/>
      <c r="U394" s="64"/>
      <c r="V394" s="64"/>
      <c r="W394" s="64"/>
      <c r="X394" s="64"/>
      <c r="Y394" s="64"/>
      <c r="Z394" s="64"/>
      <c r="AA394" s="64"/>
      <c r="AB394" s="64"/>
      <c r="AC394" s="64"/>
      <c r="AD394" s="64"/>
      <c r="AE394" s="134"/>
      <c r="AF394" s="134"/>
      <c r="AG394" s="113"/>
    </row>
    <row r="395" spans="2:67">
      <c r="B395" s="7"/>
      <c r="C395" s="7"/>
      <c r="D395" s="7"/>
      <c r="E395" s="7"/>
      <c r="F395" s="7"/>
      <c r="G395" s="7"/>
      <c r="H395" s="7"/>
      <c r="I395" s="7"/>
      <c r="J395" s="7"/>
      <c r="K395" s="7"/>
      <c r="L395" s="7"/>
      <c r="M395" s="7"/>
      <c r="N395" s="7"/>
      <c r="O395" s="7"/>
      <c r="P395" s="7"/>
      <c r="Q395" s="7"/>
      <c r="R395" s="64"/>
      <c r="S395" s="64"/>
      <c r="T395" s="64"/>
      <c r="U395" s="64"/>
      <c r="V395" s="64"/>
      <c r="W395" s="64"/>
      <c r="X395" s="64"/>
      <c r="Y395" s="64"/>
      <c r="Z395" s="64"/>
      <c r="AA395" s="64"/>
      <c r="AB395" s="64"/>
      <c r="AC395" s="64"/>
      <c r="AD395" s="64"/>
      <c r="AE395" s="134"/>
      <c r="AF395" s="134"/>
      <c r="AG395" s="113"/>
    </row>
    <row r="396" spans="2:67">
      <c r="B396" s="7"/>
      <c r="C396" s="7"/>
      <c r="D396" s="7"/>
      <c r="E396" s="7"/>
      <c r="F396" s="7"/>
      <c r="G396" s="7"/>
      <c r="H396" s="7"/>
      <c r="I396" s="7"/>
      <c r="J396" s="7"/>
      <c r="K396" s="7"/>
      <c r="L396" s="7"/>
      <c r="M396" s="7"/>
      <c r="N396" s="7"/>
      <c r="O396" s="7"/>
      <c r="P396" s="7"/>
      <c r="Q396" s="7"/>
      <c r="R396" s="64"/>
      <c r="S396" s="64"/>
      <c r="T396" s="64"/>
      <c r="U396" s="64"/>
      <c r="V396" s="64"/>
      <c r="W396" s="64"/>
      <c r="X396" s="64"/>
      <c r="Y396" s="64"/>
      <c r="Z396" s="64"/>
      <c r="AA396" s="64"/>
      <c r="AB396" s="64"/>
      <c r="AC396" s="64"/>
      <c r="AD396" s="64"/>
      <c r="AE396" s="134"/>
      <c r="AF396" s="134"/>
      <c r="AG396" s="113"/>
    </row>
    <row r="397" spans="2:67">
      <c r="B397" s="7"/>
      <c r="C397" s="7"/>
      <c r="D397" s="7"/>
      <c r="E397" s="7"/>
      <c r="F397" s="7"/>
      <c r="G397" s="7"/>
      <c r="H397" s="7"/>
      <c r="I397" s="7"/>
      <c r="J397" s="7"/>
      <c r="K397" s="7"/>
      <c r="L397" s="7"/>
      <c r="M397" s="7"/>
      <c r="N397" s="7"/>
      <c r="O397" s="7"/>
      <c r="P397" s="7"/>
      <c r="Q397" s="7"/>
      <c r="R397" s="64"/>
      <c r="S397" s="64"/>
      <c r="T397" s="64"/>
      <c r="U397" s="64"/>
      <c r="V397" s="64"/>
      <c r="W397" s="64"/>
      <c r="X397" s="64"/>
      <c r="Y397" s="64"/>
      <c r="Z397" s="64"/>
      <c r="AA397" s="64"/>
      <c r="AB397" s="64"/>
      <c r="AC397" s="64"/>
      <c r="AD397" s="64"/>
      <c r="AE397" s="134"/>
      <c r="AF397" s="134"/>
      <c r="AG397" s="113"/>
    </row>
    <row r="398" spans="2:67">
      <c r="B398" s="7"/>
      <c r="C398" s="7"/>
      <c r="D398" s="7"/>
      <c r="E398" s="7"/>
      <c r="F398" s="7"/>
      <c r="G398" s="7"/>
      <c r="H398" s="7"/>
      <c r="I398" s="7"/>
      <c r="J398" s="7"/>
      <c r="K398" s="7"/>
      <c r="L398" s="7"/>
      <c r="M398" s="7"/>
      <c r="N398" s="7"/>
      <c r="O398" s="7"/>
      <c r="P398" s="7"/>
      <c r="Q398" s="7"/>
      <c r="R398" s="64"/>
      <c r="S398" s="64"/>
      <c r="T398" s="64"/>
      <c r="U398" s="64"/>
      <c r="V398" s="64"/>
      <c r="W398" s="64"/>
      <c r="X398" s="64"/>
      <c r="Y398" s="64"/>
      <c r="Z398" s="64"/>
      <c r="AA398" s="64"/>
      <c r="AB398" s="64"/>
      <c r="AC398" s="64"/>
      <c r="AD398" s="64"/>
      <c r="AE398" s="134"/>
      <c r="AF398" s="134"/>
      <c r="AG398" s="113"/>
    </row>
    <row r="399" spans="2:67">
      <c r="B399" s="7"/>
      <c r="C399" s="7"/>
      <c r="D399" s="7"/>
      <c r="E399" s="7"/>
      <c r="F399" s="7"/>
      <c r="G399" s="7"/>
      <c r="H399" s="7"/>
      <c r="I399" s="7"/>
      <c r="J399" s="7"/>
      <c r="K399" s="7"/>
      <c r="L399" s="7"/>
      <c r="M399" s="7"/>
      <c r="N399" s="7"/>
      <c r="O399" s="7"/>
      <c r="P399" s="7"/>
      <c r="Q399" s="7"/>
      <c r="R399" s="64"/>
      <c r="S399" s="64"/>
      <c r="T399" s="64"/>
      <c r="U399" s="64"/>
      <c r="V399" s="64"/>
      <c r="W399" s="64"/>
      <c r="X399" s="64"/>
      <c r="Y399" s="64"/>
      <c r="Z399" s="64"/>
      <c r="AA399" s="64"/>
      <c r="AB399" s="64"/>
      <c r="AC399" s="64"/>
      <c r="AD399" s="64"/>
      <c r="AE399" s="134"/>
      <c r="AF399" s="134"/>
      <c r="AG399" s="113"/>
    </row>
    <row r="400" spans="2:67">
      <c r="B400" s="7"/>
      <c r="C400" s="7"/>
      <c r="D400" s="7"/>
      <c r="E400" s="7"/>
      <c r="F400" s="7"/>
      <c r="G400" s="7"/>
      <c r="H400" s="7"/>
      <c r="I400" s="7"/>
      <c r="J400" s="7"/>
      <c r="K400" s="7"/>
      <c r="L400" s="7"/>
      <c r="M400" s="7"/>
      <c r="N400" s="7"/>
      <c r="O400" s="7"/>
      <c r="P400" s="7"/>
      <c r="Q400" s="7"/>
      <c r="R400" s="64"/>
      <c r="S400" s="64"/>
      <c r="T400" s="64"/>
      <c r="U400" s="64"/>
      <c r="V400" s="64"/>
      <c r="W400" s="64"/>
      <c r="X400" s="64"/>
      <c r="Y400" s="64"/>
      <c r="Z400" s="64"/>
      <c r="AA400" s="64"/>
      <c r="AB400" s="64"/>
      <c r="AC400" s="64"/>
      <c r="AD400" s="64"/>
      <c r="AE400" s="134"/>
      <c r="AF400" s="134"/>
      <c r="AG400" s="113"/>
    </row>
    <row r="401" spans="2:33">
      <c r="B401" s="7"/>
      <c r="C401" s="7"/>
      <c r="D401" s="7"/>
      <c r="E401" s="7"/>
      <c r="F401" s="7"/>
      <c r="G401" s="7"/>
      <c r="H401" s="7"/>
      <c r="I401" s="7"/>
      <c r="J401" s="7"/>
      <c r="K401" s="7"/>
      <c r="L401" s="7"/>
      <c r="M401" s="7"/>
      <c r="N401" s="7"/>
      <c r="O401" s="7"/>
      <c r="P401" s="7"/>
      <c r="Q401" s="7"/>
      <c r="R401" s="64"/>
      <c r="S401" s="64"/>
      <c r="T401" s="64"/>
      <c r="U401" s="64"/>
      <c r="V401" s="64"/>
      <c r="W401" s="64"/>
      <c r="X401" s="64"/>
      <c r="Y401" s="64"/>
      <c r="Z401" s="64"/>
      <c r="AA401" s="64"/>
      <c r="AB401" s="64"/>
      <c r="AC401" s="64"/>
      <c r="AD401" s="64"/>
      <c r="AE401" s="134"/>
      <c r="AF401" s="134"/>
      <c r="AG401" s="113"/>
    </row>
    <row r="402" spans="2:33">
      <c r="B402" s="7"/>
      <c r="C402" s="7"/>
      <c r="D402" s="7"/>
      <c r="E402" s="7"/>
      <c r="F402" s="7"/>
      <c r="G402" s="7"/>
      <c r="H402" s="7"/>
      <c r="I402" s="7"/>
      <c r="J402" s="7"/>
      <c r="K402" s="7"/>
      <c r="L402" s="7"/>
      <c r="M402" s="7"/>
      <c r="N402" s="7"/>
      <c r="O402" s="7"/>
      <c r="P402" s="7"/>
      <c r="Q402" s="7"/>
      <c r="R402" s="64"/>
      <c r="S402" s="64"/>
      <c r="T402" s="64"/>
      <c r="U402" s="64"/>
      <c r="V402" s="64"/>
      <c r="W402" s="64"/>
      <c r="X402" s="64"/>
      <c r="Y402" s="64"/>
      <c r="Z402" s="64"/>
      <c r="AA402" s="64"/>
      <c r="AB402" s="64"/>
      <c r="AC402" s="64"/>
      <c r="AD402" s="64"/>
      <c r="AE402" s="134"/>
      <c r="AF402" s="134"/>
      <c r="AG402" s="113"/>
    </row>
    <row r="403" spans="2:33">
      <c r="B403" s="7"/>
      <c r="C403" s="7"/>
      <c r="D403" s="7"/>
      <c r="E403" s="7"/>
      <c r="F403" s="7"/>
      <c r="G403" s="7"/>
      <c r="H403" s="7"/>
      <c r="I403" s="7"/>
      <c r="J403" s="7"/>
      <c r="K403" s="7"/>
      <c r="L403" s="7"/>
      <c r="M403" s="7"/>
      <c r="N403" s="7"/>
      <c r="O403" s="7"/>
      <c r="P403" s="7"/>
      <c r="Q403" s="7"/>
      <c r="R403" s="64"/>
      <c r="S403" s="64"/>
      <c r="T403" s="64"/>
      <c r="U403" s="64"/>
      <c r="V403" s="64"/>
      <c r="W403" s="64"/>
      <c r="X403" s="64"/>
      <c r="Y403" s="64"/>
      <c r="Z403" s="64"/>
      <c r="AA403" s="64"/>
      <c r="AB403" s="64"/>
      <c r="AC403" s="64"/>
      <c r="AD403" s="64"/>
      <c r="AE403" s="134"/>
      <c r="AF403" s="134"/>
      <c r="AG403" s="113"/>
    </row>
    <row r="404" spans="2:33">
      <c r="B404" s="7"/>
      <c r="C404" s="7"/>
      <c r="D404" s="7"/>
      <c r="E404" s="7"/>
      <c r="F404" s="7"/>
      <c r="G404" s="7"/>
      <c r="H404" s="7"/>
      <c r="I404" s="7"/>
      <c r="J404" s="7"/>
      <c r="K404" s="7"/>
      <c r="L404" s="7"/>
      <c r="M404" s="7"/>
      <c r="N404" s="7"/>
      <c r="O404" s="7"/>
      <c r="P404" s="7"/>
      <c r="Q404" s="7"/>
      <c r="R404" s="64"/>
      <c r="S404" s="64"/>
      <c r="T404" s="64"/>
      <c r="U404" s="64"/>
      <c r="V404" s="64"/>
      <c r="W404" s="64"/>
      <c r="X404" s="64"/>
      <c r="Y404" s="64"/>
      <c r="Z404" s="64"/>
      <c r="AA404" s="64"/>
      <c r="AB404" s="64"/>
      <c r="AC404" s="64"/>
      <c r="AD404" s="64"/>
      <c r="AE404" s="134"/>
      <c r="AF404" s="134"/>
      <c r="AG404" s="113"/>
    </row>
    <row r="405" spans="2:33">
      <c r="B405" s="7"/>
      <c r="C405" s="7"/>
      <c r="D405" s="7"/>
      <c r="E405" s="7"/>
      <c r="F405" s="7"/>
      <c r="G405" s="7"/>
      <c r="H405" s="7"/>
      <c r="I405" s="7"/>
      <c r="J405" s="7"/>
      <c r="K405" s="7"/>
      <c r="L405" s="7"/>
      <c r="M405" s="7"/>
      <c r="N405" s="7"/>
      <c r="O405" s="7"/>
      <c r="P405" s="7"/>
      <c r="Q405" s="7"/>
      <c r="R405" s="64"/>
      <c r="S405" s="64"/>
      <c r="T405" s="64"/>
      <c r="U405" s="64"/>
      <c r="V405" s="64"/>
      <c r="W405" s="64"/>
      <c r="X405" s="64"/>
      <c r="Y405" s="64"/>
      <c r="Z405" s="64"/>
      <c r="AA405" s="64"/>
      <c r="AB405" s="64"/>
      <c r="AC405" s="64"/>
      <c r="AD405" s="64"/>
      <c r="AE405" s="134"/>
      <c r="AF405" s="134"/>
      <c r="AG405" s="113"/>
    </row>
    <row r="406" spans="2:33">
      <c r="B406" s="7"/>
      <c r="C406" s="7"/>
      <c r="D406" s="7"/>
      <c r="E406" s="7"/>
      <c r="F406" s="7"/>
      <c r="G406" s="7"/>
      <c r="H406" s="7"/>
      <c r="I406" s="7"/>
      <c r="J406" s="7"/>
      <c r="K406" s="7"/>
      <c r="L406" s="7"/>
      <c r="M406" s="7"/>
      <c r="N406" s="7"/>
      <c r="O406" s="7"/>
      <c r="P406" s="7"/>
      <c r="Q406" s="7"/>
      <c r="R406" s="64"/>
      <c r="S406" s="64"/>
      <c r="T406" s="64"/>
      <c r="U406" s="64"/>
      <c r="V406" s="64"/>
      <c r="W406" s="64"/>
      <c r="X406" s="64"/>
      <c r="Y406" s="64"/>
      <c r="Z406" s="64"/>
      <c r="AA406" s="64"/>
      <c r="AB406" s="64"/>
      <c r="AC406" s="64"/>
      <c r="AD406" s="64"/>
      <c r="AE406" s="134"/>
      <c r="AF406" s="134"/>
      <c r="AG406" s="113"/>
    </row>
    <row r="407" spans="2:33">
      <c r="B407" s="7"/>
      <c r="C407" s="7"/>
      <c r="D407" s="7"/>
      <c r="E407" s="7"/>
      <c r="F407" s="7"/>
      <c r="G407" s="7"/>
      <c r="H407" s="7"/>
      <c r="I407" s="7"/>
      <c r="J407" s="7"/>
      <c r="K407" s="7"/>
      <c r="L407" s="7"/>
      <c r="M407" s="7"/>
      <c r="N407" s="7"/>
      <c r="O407" s="7"/>
      <c r="P407" s="7"/>
      <c r="Q407" s="7"/>
      <c r="R407" s="64"/>
      <c r="S407" s="64"/>
      <c r="T407" s="64"/>
      <c r="U407" s="64"/>
      <c r="V407" s="64"/>
      <c r="W407" s="64"/>
      <c r="X407" s="64"/>
      <c r="Y407" s="64"/>
      <c r="Z407" s="64"/>
      <c r="AA407" s="64"/>
      <c r="AB407" s="64"/>
      <c r="AC407" s="64"/>
      <c r="AD407" s="64"/>
      <c r="AE407" s="134"/>
      <c r="AF407" s="134"/>
      <c r="AG407" s="113"/>
    </row>
    <row r="408" spans="2:33">
      <c r="B408" s="7"/>
      <c r="C408" s="7"/>
      <c r="D408" s="7"/>
      <c r="E408" s="7"/>
      <c r="F408" s="7"/>
      <c r="G408" s="7"/>
      <c r="H408" s="7"/>
      <c r="I408" s="7"/>
      <c r="J408" s="7"/>
      <c r="K408" s="7"/>
      <c r="L408" s="7"/>
      <c r="M408" s="7"/>
      <c r="N408" s="7"/>
      <c r="O408" s="7"/>
      <c r="P408" s="7"/>
      <c r="Q408" s="7"/>
      <c r="R408" s="64"/>
      <c r="S408" s="64"/>
      <c r="T408" s="64"/>
      <c r="U408" s="64"/>
      <c r="V408" s="64"/>
      <c r="W408" s="64"/>
      <c r="X408" s="64"/>
      <c r="Y408" s="64"/>
      <c r="Z408" s="64"/>
      <c r="AA408" s="64"/>
      <c r="AB408" s="64"/>
      <c r="AC408" s="64"/>
      <c r="AD408" s="64"/>
      <c r="AE408" s="134"/>
      <c r="AF408" s="134"/>
      <c r="AG408" s="113"/>
    </row>
    <row r="409" spans="2:33">
      <c r="B409" s="7"/>
      <c r="C409" s="7"/>
      <c r="D409" s="7"/>
      <c r="E409" s="7"/>
      <c r="F409" s="7"/>
      <c r="G409" s="7"/>
      <c r="H409" s="7"/>
      <c r="I409" s="7"/>
      <c r="J409" s="7"/>
      <c r="K409" s="7"/>
      <c r="L409" s="7"/>
      <c r="M409" s="7"/>
      <c r="N409" s="7"/>
      <c r="O409" s="7"/>
      <c r="P409" s="7"/>
      <c r="Q409" s="7"/>
      <c r="R409" s="64"/>
      <c r="S409" s="64"/>
      <c r="T409" s="64"/>
      <c r="U409" s="64"/>
      <c r="V409" s="64"/>
      <c r="W409" s="64"/>
      <c r="X409" s="64"/>
      <c r="Y409" s="64"/>
      <c r="Z409" s="64"/>
      <c r="AA409" s="64"/>
      <c r="AB409" s="64"/>
      <c r="AC409" s="64"/>
      <c r="AD409" s="64"/>
      <c r="AE409" s="134"/>
      <c r="AF409" s="134"/>
      <c r="AG409" s="113"/>
    </row>
    <row r="410" spans="2:33">
      <c r="B410" s="7"/>
      <c r="C410" s="7"/>
      <c r="D410" s="7"/>
      <c r="E410" s="7"/>
      <c r="F410" s="7"/>
      <c r="G410" s="7"/>
      <c r="H410" s="7"/>
      <c r="I410" s="7"/>
      <c r="J410" s="7"/>
      <c r="K410" s="7"/>
      <c r="L410" s="7"/>
      <c r="M410" s="7"/>
      <c r="N410" s="7"/>
      <c r="O410" s="7"/>
      <c r="P410" s="7"/>
      <c r="Q410" s="7"/>
      <c r="R410" s="64"/>
      <c r="S410" s="64"/>
      <c r="T410" s="64"/>
      <c r="U410" s="64"/>
      <c r="V410" s="64"/>
      <c r="W410" s="64"/>
      <c r="X410" s="64"/>
      <c r="Y410" s="64"/>
      <c r="Z410" s="64"/>
      <c r="AA410" s="64"/>
      <c r="AB410" s="64"/>
      <c r="AC410" s="64"/>
      <c r="AD410" s="64"/>
      <c r="AE410" s="134"/>
      <c r="AF410" s="134"/>
      <c r="AG410" s="113"/>
    </row>
    <row r="411" spans="2:33">
      <c r="B411" s="7"/>
      <c r="C411" s="7"/>
      <c r="D411" s="7"/>
      <c r="E411" s="7"/>
      <c r="F411" s="7"/>
      <c r="G411" s="7"/>
      <c r="H411" s="7"/>
      <c r="I411" s="7"/>
      <c r="J411" s="7"/>
      <c r="K411" s="7"/>
      <c r="L411" s="7"/>
      <c r="M411" s="7"/>
      <c r="N411" s="7"/>
      <c r="O411" s="7"/>
      <c r="P411" s="7"/>
      <c r="Q411" s="7"/>
      <c r="R411" s="64"/>
      <c r="S411" s="64"/>
      <c r="T411" s="64"/>
      <c r="U411" s="64"/>
      <c r="V411" s="64"/>
      <c r="W411" s="64"/>
      <c r="X411" s="64"/>
      <c r="Y411" s="64"/>
      <c r="Z411" s="7"/>
      <c r="AA411" s="7"/>
      <c r="AB411" s="64"/>
      <c r="AC411" s="64"/>
      <c r="AD411" s="64"/>
      <c r="AE411" s="134"/>
      <c r="AF411" s="134"/>
      <c r="AG411" s="113"/>
    </row>
    <row r="412" spans="2:33">
      <c r="B412" s="7"/>
      <c r="C412" s="7"/>
      <c r="D412" s="7"/>
      <c r="E412" s="7"/>
      <c r="F412" s="7"/>
      <c r="G412" s="7"/>
      <c r="H412" s="7"/>
      <c r="I412" s="7"/>
      <c r="J412" s="7"/>
      <c r="K412" s="7"/>
      <c r="L412" s="7"/>
      <c r="M412" s="7"/>
      <c r="N412" s="7"/>
      <c r="O412" s="7"/>
      <c r="P412" s="7"/>
      <c r="Q412" s="7"/>
      <c r="R412" s="64"/>
      <c r="S412" s="64"/>
      <c r="T412" s="64"/>
      <c r="U412" s="64"/>
      <c r="V412" s="64"/>
      <c r="W412" s="64"/>
      <c r="X412" s="64"/>
      <c r="Y412" s="64"/>
      <c r="Z412" s="7"/>
      <c r="AA412" s="7"/>
      <c r="AB412" s="7"/>
      <c r="AC412" s="7"/>
      <c r="AD412" s="64"/>
      <c r="AE412" s="134"/>
      <c r="AF412" s="134"/>
      <c r="AG412" s="113"/>
    </row>
    <row r="413" spans="2:33">
      <c r="B413" s="7"/>
      <c r="C413" s="7"/>
      <c r="D413" s="7"/>
      <c r="E413" s="7"/>
      <c r="F413" s="7"/>
      <c r="G413" s="7"/>
      <c r="H413" s="7"/>
      <c r="I413" s="7"/>
      <c r="J413" s="7"/>
      <c r="K413" s="7"/>
      <c r="L413" s="7"/>
      <c r="M413" s="7"/>
      <c r="N413" s="7"/>
      <c r="O413" s="7"/>
      <c r="P413" s="7"/>
      <c r="Q413" s="7"/>
      <c r="R413" s="64"/>
      <c r="S413" s="64"/>
      <c r="T413" s="64"/>
      <c r="U413" s="64"/>
      <c r="V413" s="64"/>
      <c r="W413" s="64"/>
      <c r="X413" s="64"/>
      <c r="Y413" s="64"/>
      <c r="Z413" s="7"/>
      <c r="AA413" s="7"/>
      <c r="AB413" s="7"/>
      <c r="AC413" s="7"/>
      <c r="AD413" s="64"/>
      <c r="AE413" s="134"/>
      <c r="AF413" s="134"/>
      <c r="AG413" s="113"/>
    </row>
    <row r="414" spans="2:33">
      <c r="B414" s="7"/>
      <c r="C414" s="7"/>
      <c r="D414" s="7"/>
      <c r="E414" s="7"/>
      <c r="F414" s="7"/>
      <c r="G414" s="7"/>
      <c r="H414" s="7"/>
      <c r="I414" s="7"/>
      <c r="J414" s="7"/>
      <c r="K414" s="7"/>
      <c r="L414" s="7"/>
      <c r="M414" s="7"/>
      <c r="N414" s="7"/>
      <c r="O414" s="7"/>
      <c r="P414" s="7"/>
      <c r="Q414" s="7"/>
      <c r="R414" s="64"/>
      <c r="S414" s="64"/>
      <c r="T414" s="64"/>
      <c r="U414" s="64"/>
      <c r="V414" s="64"/>
      <c r="W414" s="64"/>
      <c r="X414" s="64"/>
      <c r="Y414" s="64"/>
      <c r="Z414" s="7"/>
      <c r="AA414" s="7"/>
      <c r="AB414" s="7"/>
      <c r="AC414" s="7"/>
      <c r="AD414" s="64"/>
      <c r="AE414" s="134"/>
      <c r="AF414" s="134"/>
      <c r="AG414" s="113"/>
    </row>
    <row r="415" spans="2:33">
      <c r="B415" s="7"/>
      <c r="C415" s="7"/>
      <c r="D415" s="7"/>
      <c r="E415" s="7"/>
      <c r="F415" s="7"/>
      <c r="G415" s="7"/>
      <c r="H415" s="7"/>
      <c r="I415" s="7"/>
      <c r="J415" s="7"/>
      <c r="K415" s="7"/>
      <c r="L415" s="7"/>
      <c r="M415" s="7"/>
      <c r="N415" s="7"/>
      <c r="O415" s="7"/>
      <c r="P415" s="7"/>
      <c r="Q415" s="7"/>
      <c r="R415" s="64"/>
      <c r="S415" s="64"/>
      <c r="T415" s="64"/>
      <c r="U415" s="64"/>
      <c r="V415" s="64"/>
      <c r="W415" s="64"/>
      <c r="X415" s="64"/>
      <c r="Y415" s="64"/>
      <c r="Z415" s="7"/>
      <c r="AA415" s="7"/>
      <c r="AB415" s="7"/>
      <c r="AC415" s="7"/>
      <c r="AD415" s="64"/>
      <c r="AE415" s="134"/>
      <c r="AF415" s="134"/>
      <c r="AG415" s="113"/>
    </row>
    <row r="416" spans="2:33">
      <c r="B416" s="7"/>
      <c r="C416" s="7"/>
      <c r="D416" s="7"/>
      <c r="E416" s="7"/>
      <c r="F416" s="7"/>
      <c r="G416" s="7"/>
      <c r="H416" s="7"/>
      <c r="I416" s="7"/>
      <c r="J416" s="7"/>
      <c r="K416" s="7"/>
      <c r="L416" s="7"/>
      <c r="M416" s="7"/>
      <c r="N416" s="7"/>
      <c r="O416" s="7"/>
      <c r="P416" s="7"/>
      <c r="Q416" s="7"/>
      <c r="R416" s="64"/>
      <c r="S416" s="64"/>
      <c r="T416" s="64"/>
      <c r="U416" s="64"/>
      <c r="V416" s="64"/>
      <c r="W416" s="64"/>
      <c r="X416" s="64"/>
      <c r="Y416" s="64"/>
      <c r="Z416" s="7"/>
      <c r="AA416" s="7"/>
      <c r="AB416" s="7"/>
      <c r="AC416" s="7"/>
      <c r="AD416" s="64"/>
      <c r="AE416" s="134"/>
      <c r="AF416" s="134"/>
      <c r="AG416" s="113"/>
    </row>
    <row r="417" spans="2:33">
      <c r="B417" s="7"/>
      <c r="C417" s="7"/>
      <c r="D417" s="7"/>
      <c r="E417" s="7"/>
      <c r="F417" s="7"/>
      <c r="G417" s="7"/>
      <c r="H417" s="7"/>
      <c r="I417" s="7"/>
      <c r="J417" s="7"/>
      <c r="K417" s="7"/>
      <c r="L417" s="7"/>
      <c r="M417" s="7"/>
      <c r="N417" s="7"/>
      <c r="O417" s="7"/>
      <c r="P417" s="7"/>
      <c r="Q417" s="7"/>
      <c r="R417" s="64"/>
      <c r="S417" s="64"/>
      <c r="T417" s="64"/>
      <c r="U417" s="64"/>
      <c r="V417" s="64"/>
      <c r="W417" s="64"/>
      <c r="X417" s="64"/>
      <c r="Y417" s="64"/>
      <c r="Z417" s="7"/>
      <c r="AA417" s="7"/>
      <c r="AB417" s="7"/>
      <c r="AC417" s="7"/>
      <c r="AD417" s="64"/>
      <c r="AE417" s="134"/>
      <c r="AF417" s="134"/>
      <c r="AG417" s="113"/>
    </row>
    <row r="418" spans="2:33">
      <c r="B418" s="7"/>
      <c r="C418" s="7"/>
      <c r="D418" s="7"/>
      <c r="E418" s="7"/>
      <c r="F418" s="7"/>
      <c r="G418" s="7"/>
      <c r="H418" s="7"/>
      <c r="I418" s="7"/>
      <c r="J418" s="7"/>
      <c r="K418" s="7"/>
      <c r="L418" s="7"/>
      <c r="M418" s="7"/>
      <c r="N418" s="7"/>
      <c r="O418" s="7"/>
      <c r="P418" s="7"/>
      <c r="Q418" s="7"/>
      <c r="R418" s="7"/>
      <c r="S418" s="7"/>
      <c r="T418" s="7"/>
      <c r="U418" s="7"/>
      <c r="V418" s="7"/>
      <c r="W418" s="7"/>
      <c r="X418" s="7"/>
      <c r="Y418" s="7"/>
      <c r="Z418" s="7"/>
      <c r="AA418" s="7"/>
      <c r="AB418" s="7"/>
      <c r="AC418" s="7"/>
      <c r="AD418" s="64"/>
      <c r="AE418" s="134"/>
      <c r="AF418" s="134"/>
      <c r="AG418" s="113"/>
    </row>
    <row r="419" spans="2:33">
      <c r="B419" s="7"/>
      <c r="C419" s="7"/>
      <c r="D419" s="7"/>
      <c r="E419" s="7"/>
      <c r="F419" s="7"/>
      <c r="G419" s="7"/>
      <c r="H419" s="7"/>
      <c r="I419" s="7"/>
      <c r="J419" s="7"/>
      <c r="K419" s="7"/>
      <c r="L419" s="7"/>
      <c r="M419" s="7"/>
      <c r="N419" s="7"/>
      <c r="O419" s="7"/>
      <c r="P419" s="7"/>
      <c r="Q419" s="7"/>
      <c r="R419" s="7"/>
      <c r="S419" s="7"/>
      <c r="T419" s="7"/>
      <c r="U419" s="7"/>
      <c r="V419" s="7"/>
      <c r="W419" s="7"/>
      <c r="X419" s="7"/>
      <c r="Y419" s="7"/>
      <c r="Z419" s="7"/>
      <c r="AA419" s="7"/>
      <c r="AB419" s="7"/>
      <c r="AC419" s="7"/>
      <c r="AD419" s="64"/>
      <c r="AE419" s="134"/>
      <c r="AF419" s="134"/>
      <c r="AG419" s="113"/>
    </row>
    <row r="420" spans="2:33">
      <c r="B420" s="7"/>
      <c r="C420" s="7"/>
      <c r="D420" s="7"/>
      <c r="E420" s="7"/>
      <c r="F420" s="7"/>
      <c r="G420" s="7"/>
      <c r="H420" s="7"/>
      <c r="I420" s="7"/>
      <c r="J420" s="7"/>
      <c r="K420" s="7"/>
      <c r="L420" s="7"/>
      <c r="M420" s="7"/>
      <c r="N420" s="7"/>
      <c r="O420" s="7"/>
      <c r="P420" s="7"/>
      <c r="Q420" s="7"/>
      <c r="R420" s="7"/>
      <c r="S420" s="7"/>
      <c r="T420" s="7"/>
      <c r="U420" s="7"/>
      <c r="V420" s="7"/>
      <c r="W420" s="7"/>
      <c r="X420" s="7"/>
      <c r="Y420" s="7"/>
      <c r="Z420" s="7"/>
      <c r="AA420" s="7"/>
      <c r="AB420" s="7"/>
      <c r="AC420" s="7"/>
      <c r="AD420" s="64"/>
      <c r="AE420" s="134"/>
      <c r="AF420" s="134"/>
      <c r="AG420" s="113"/>
    </row>
    <row r="421" spans="2:33">
      <c r="B421" s="7"/>
      <c r="C421" s="7"/>
      <c r="D421" s="7"/>
      <c r="E421" s="7"/>
      <c r="F421" s="7"/>
      <c r="G421" s="7"/>
      <c r="H421" s="7"/>
      <c r="I421" s="7"/>
      <c r="J421" s="7"/>
      <c r="K421" s="7"/>
      <c r="L421" s="7"/>
      <c r="M421" s="7"/>
      <c r="N421" s="7"/>
      <c r="O421" s="7"/>
      <c r="P421" s="7"/>
      <c r="Q421" s="7"/>
      <c r="R421" s="7"/>
      <c r="S421" s="7"/>
      <c r="T421" s="7"/>
      <c r="U421" s="7"/>
      <c r="V421" s="7"/>
      <c r="W421" s="7"/>
      <c r="X421" s="7"/>
      <c r="Y421" s="7"/>
      <c r="Z421" s="7"/>
      <c r="AA421" s="7"/>
      <c r="AB421" s="7"/>
      <c r="AC421" s="7"/>
      <c r="AD421" s="64"/>
      <c r="AE421" s="134"/>
      <c r="AF421" s="134"/>
      <c r="AG421" s="113"/>
    </row>
    <row r="422" spans="2:33">
      <c r="B422" s="7"/>
      <c r="C422" s="7"/>
      <c r="D422" s="7"/>
      <c r="E422" s="7"/>
      <c r="F422" s="7"/>
      <c r="G422" s="7"/>
      <c r="H422" s="7"/>
      <c r="I422" s="7"/>
      <c r="J422" s="7"/>
      <c r="K422" s="7"/>
      <c r="L422" s="7"/>
      <c r="M422" s="7"/>
      <c r="N422" s="7"/>
      <c r="O422" s="7"/>
      <c r="P422" s="7"/>
      <c r="Q422" s="7"/>
      <c r="R422" s="7"/>
      <c r="S422" s="7"/>
      <c r="T422" s="7"/>
      <c r="U422" s="7"/>
      <c r="V422" s="7"/>
      <c r="W422" s="7"/>
      <c r="X422" s="7"/>
      <c r="Y422" s="7"/>
      <c r="Z422" s="7"/>
      <c r="AA422" s="7"/>
      <c r="AB422" s="7"/>
      <c r="AC422" s="7"/>
      <c r="AD422" s="64"/>
      <c r="AE422" s="134"/>
      <c r="AF422" s="134"/>
      <c r="AG422" s="113"/>
    </row>
    <row r="423" spans="2:33">
      <c r="B423" s="7"/>
      <c r="C423" s="7"/>
      <c r="D423" s="7"/>
      <c r="E423" s="7"/>
      <c r="F423" s="7"/>
      <c r="G423" s="7"/>
      <c r="H423" s="7"/>
      <c r="I423" s="7"/>
      <c r="J423" s="7"/>
      <c r="K423" s="7"/>
      <c r="L423" s="7"/>
      <c r="M423" s="7"/>
      <c r="N423" s="7"/>
      <c r="O423" s="7"/>
      <c r="P423" s="7"/>
      <c r="Q423" s="7"/>
      <c r="R423" s="7"/>
      <c r="S423" s="7"/>
      <c r="T423" s="7"/>
      <c r="U423" s="7"/>
      <c r="V423" s="7"/>
      <c r="W423" s="7"/>
      <c r="X423" s="7"/>
      <c r="Y423" s="7"/>
      <c r="Z423" s="7"/>
      <c r="AA423" s="7"/>
      <c r="AB423" s="7"/>
      <c r="AC423" s="7"/>
      <c r="AD423" s="64"/>
      <c r="AE423" s="134"/>
      <c r="AF423" s="134"/>
      <c r="AG423" s="113"/>
    </row>
    <row r="424" spans="2:33">
      <c r="B424" s="7"/>
      <c r="C424" s="7"/>
      <c r="D424" s="7"/>
      <c r="E424" s="7"/>
      <c r="F424" s="7"/>
      <c r="G424" s="7"/>
      <c r="H424" s="7"/>
      <c r="I424" s="7"/>
      <c r="J424" s="7"/>
      <c r="K424" s="7"/>
      <c r="L424" s="7"/>
      <c r="M424" s="7"/>
      <c r="N424" s="7"/>
      <c r="O424" s="7"/>
      <c r="P424" s="7"/>
      <c r="Q424" s="7"/>
      <c r="R424" s="7"/>
      <c r="S424" s="7"/>
      <c r="T424" s="7"/>
      <c r="U424" s="7"/>
      <c r="V424" s="7"/>
      <c r="W424" s="7"/>
      <c r="X424" s="7"/>
      <c r="Y424" s="7"/>
      <c r="Z424" s="7"/>
      <c r="AA424" s="7"/>
      <c r="AB424" s="7"/>
      <c r="AC424" s="7"/>
      <c r="AD424" s="64"/>
      <c r="AE424" s="134"/>
      <c r="AF424" s="134"/>
      <c r="AG424" s="113"/>
    </row>
    <row r="425" spans="2:33">
      <c r="B425" s="7"/>
      <c r="C425" s="7"/>
      <c r="D425" s="7"/>
      <c r="E425" s="7"/>
      <c r="F425" s="7"/>
      <c r="G425" s="7"/>
      <c r="H425" s="7"/>
      <c r="I425" s="7"/>
      <c r="J425" s="7"/>
      <c r="K425" s="7"/>
      <c r="L425" s="7"/>
      <c r="M425" s="7"/>
      <c r="N425" s="7"/>
      <c r="O425" s="7"/>
      <c r="P425" s="7"/>
      <c r="Q425" s="7"/>
      <c r="R425" s="7"/>
      <c r="S425" s="7"/>
      <c r="T425" s="7"/>
      <c r="U425" s="7"/>
      <c r="V425" s="7"/>
      <c r="W425" s="7"/>
      <c r="X425" s="7"/>
      <c r="Y425" s="7"/>
      <c r="Z425" s="7"/>
      <c r="AA425" s="7"/>
      <c r="AB425" s="7"/>
      <c r="AC425" s="7"/>
      <c r="AD425" s="64"/>
      <c r="AE425" s="134"/>
      <c r="AF425" s="134"/>
      <c r="AG425" s="113"/>
    </row>
    <row r="426" spans="2:33">
      <c r="B426" s="7"/>
      <c r="C426" s="7"/>
      <c r="D426" s="7"/>
      <c r="E426" s="7"/>
      <c r="F426" s="7"/>
      <c r="G426" s="7"/>
      <c r="H426" s="7"/>
      <c r="I426" s="7"/>
      <c r="J426" s="7"/>
      <c r="K426" s="7"/>
      <c r="L426" s="7"/>
      <c r="M426" s="7"/>
      <c r="N426" s="7"/>
      <c r="O426" s="7"/>
      <c r="P426" s="7"/>
      <c r="Q426" s="7"/>
      <c r="R426" s="7"/>
      <c r="S426" s="7"/>
      <c r="T426" s="7"/>
      <c r="U426" s="7"/>
      <c r="V426" s="7"/>
      <c r="W426" s="7"/>
      <c r="X426" s="7"/>
      <c r="Y426" s="7"/>
      <c r="Z426" s="7"/>
      <c r="AA426" s="7"/>
      <c r="AB426" s="7"/>
      <c r="AC426" s="7"/>
      <c r="AD426" s="64"/>
      <c r="AE426" s="134"/>
      <c r="AF426" s="134"/>
      <c r="AG426" s="113"/>
    </row>
    <row r="427" spans="2:33">
      <c r="B427" s="7"/>
      <c r="C427" s="7"/>
      <c r="D427" s="7"/>
      <c r="E427" s="7"/>
      <c r="F427" s="7"/>
      <c r="G427" s="7"/>
      <c r="H427" s="7"/>
      <c r="I427" s="7"/>
      <c r="J427" s="7"/>
      <c r="K427" s="7"/>
      <c r="L427" s="7"/>
      <c r="M427" s="7"/>
      <c r="N427" s="7"/>
      <c r="O427" s="7"/>
      <c r="P427" s="7"/>
      <c r="Q427" s="7"/>
      <c r="R427" s="7"/>
      <c r="S427" s="7"/>
      <c r="T427" s="7"/>
      <c r="U427" s="7"/>
      <c r="V427" s="7"/>
      <c r="W427" s="7"/>
      <c r="X427" s="7"/>
      <c r="Y427" s="7"/>
      <c r="Z427" s="7"/>
      <c r="AA427" s="7"/>
      <c r="AB427" s="7"/>
      <c r="AC427" s="7"/>
      <c r="AD427" s="64"/>
      <c r="AE427" s="134"/>
      <c r="AF427" s="134"/>
      <c r="AG427" s="113"/>
    </row>
    <row r="428" spans="2:33">
      <c r="B428" s="7"/>
      <c r="C428" s="7"/>
      <c r="D428" s="7"/>
      <c r="E428" s="7"/>
      <c r="F428" s="7"/>
      <c r="G428" s="7"/>
      <c r="H428" s="7"/>
      <c r="I428" s="7"/>
      <c r="J428" s="7"/>
      <c r="K428" s="7"/>
      <c r="L428" s="7"/>
      <c r="M428" s="7"/>
      <c r="N428" s="7"/>
      <c r="O428" s="7"/>
      <c r="P428" s="7"/>
      <c r="Q428" s="7"/>
      <c r="R428" s="7"/>
      <c r="S428" s="7"/>
      <c r="T428" s="7"/>
      <c r="U428" s="7"/>
      <c r="V428" s="7"/>
      <c r="W428" s="7"/>
      <c r="X428" s="7"/>
      <c r="Y428" s="7"/>
      <c r="Z428" s="7"/>
      <c r="AA428" s="7"/>
      <c r="AB428" s="7"/>
      <c r="AC428" s="7"/>
      <c r="AD428" s="64"/>
      <c r="AE428" s="134"/>
      <c r="AF428" s="134"/>
      <c r="AG428" s="113"/>
    </row>
    <row r="429" spans="2:33">
      <c r="B429" s="7"/>
      <c r="C429" s="7"/>
      <c r="D429" s="7"/>
      <c r="E429" s="7"/>
      <c r="F429" s="7"/>
      <c r="G429" s="7"/>
      <c r="H429" s="7"/>
      <c r="I429" s="7"/>
      <c r="J429" s="7"/>
      <c r="K429" s="7"/>
      <c r="L429" s="7"/>
      <c r="M429" s="7"/>
      <c r="N429" s="7"/>
      <c r="O429" s="7"/>
      <c r="P429" s="7"/>
      <c r="Q429" s="7"/>
      <c r="R429" s="7"/>
      <c r="S429" s="7"/>
      <c r="T429" s="7"/>
      <c r="U429" s="7"/>
      <c r="V429" s="7"/>
      <c r="W429" s="7"/>
      <c r="X429" s="7"/>
      <c r="Y429" s="7"/>
      <c r="Z429" s="7"/>
      <c r="AA429" s="7"/>
      <c r="AB429" s="7"/>
      <c r="AC429" s="7"/>
      <c r="AD429" s="64"/>
      <c r="AE429" s="134"/>
      <c r="AF429" s="134"/>
      <c r="AG429" s="113"/>
    </row>
    <row r="430" spans="2:33">
      <c r="B430" s="7"/>
      <c r="C430" s="7"/>
      <c r="D430" s="7"/>
      <c r="E430" s="7"/>
      <c r="F430" s="7"/>
      <c r="G430" s="7"/>
      <c r="H430" s="7"/>
      <c r="I430" s="7"/>
      <c r="J430" s="7"/>
      <c r="K430" s="7"/>
      <c r="L430" s="7"/>
      <c r="M430" s="7"/>
      <c r="N430" s="7"/>
      <c r="O430" s="7"/>
      <c r="P430" s="7"/>
      <c r="Q430" s="7"/>
      <c r="R430" s="7"/>
      <c r="S430" s="7"/>
      <c r="T430" s="7"/>
      <c r="U430" s="7"/>
      <c r="V430" s="7"/>
      <c r="W430" s="7"/>
      <c r="X430" s="7"/>
      <c r="Y430" s="7"/>
      <c r="Z430" s="7"/>
      <c r="AA430" s="7"/>
      <c r="AB430" s="7"/>
      <c r="AC430" s="7"/>
      <c r="AD430" s="64"/>
      <c r="AE430" s="132"/>
      <c r="AF430" s="132"/>
      <c r="AG430" s="113"/>
    </row>
    <row r="431" spans="2:33">
      <c r="B431" s="7"/>
      <c r="C431" s="7"/>
      <c r="D431" s="7"/>
      <c r="E431" s="7"/>
      <c r="F431" s="7"/>
      <c r="G431" s="7"/>
      <c r="H431" s="7"/>
      <c r="I431" s="7"/>
      <c r="J431" s="7"/>
      <c r="K431" s="7"/>
      <c r="L431" s="7"/>
      <c r="M431" s="7"/>
      <c r="N431" s="7"/>
      <c r="O431" s="7"/>
      <c r="P431" s="7"/>
      <c r="Q431" s="7"/>
      <c r="R431" s="7"/>
      <c r="S431" s="7"/>
      <c r="T431" s="7"/>
      <c r="U431" s="7"/>
      <c r="V431" s="7"/>
      <c r="W431" s="7"/>
      <c r="X431" s="7"/>
      <c r="Y431" s="7"/>
      <c r="Z431" s="7"/>
      <c r="AA431" s="7"/>
      <c r="AB431" s="7"/>
      <c r="AC431" s="7"/>
      <c r="AD431" s="7"/>
      <c r="AE431" s="132"/>
      <c r="AF431" s="132"/>
      <c r="AG431" s="113"/>
    </row>
    <row r="432" spans="2:33">
      <c r="B432" s="7"/>
      <c r="C432" s="7"/>
      <c r="D432" s="7"/>
      <c r="E432" s="7"/>
      <c r="F432" s="7"/>
      <c r="G432" s="7"/>
      <c r="H432" s="7"/>
      <c r="I432" s="7"/>
      <c r="J432" s="7"/>
      <c r="K432" s="7"/>
      <c r="L432" s="7"/>
      <c r="M432" s="7"/>
      <c r="N432" s="7"/>
      <c r="O432" s="7"/>
      <c r="P432" s="7"/>
      <c r="Q432" s="7"/>
      <c r="R432" s="7"/>
      <c r="S432" s="7"/>
      <c r="T432" s="7"/>
      <c r="U432" s="7"/>
      <c r="V432" s="7"/>
      <c r="W432" s="7"/>
      <c r="X432" s="7"/>
      <c r="Y432" s="7"/>
      <c r="Z432" s="7"/>
      <c r="AA432" s="7"/>
      <c r="AB432" s="7"/>
      <c r="AC432" s="7"/>
      <c r="AD432" s="7"/>
      <c r="AE432" s="132"/>
      <c r="AF432" s="132"/>
      <c r="AG432" s="113"/>
    </row>
    <row r="433" spans="2:33">
      <c r="B433" s="7"/>
      <c r="C433" s="7"/>
      <c r="D433" s="7"/>
      <c r="E433" s="7"/>
      <c r="F433" s="7"/>
      <c r="G433" s="7"/>
      <c r="H433" s="7"/>
      <c r="I433" s="7"/>
      <c r="J433" s="7"/>
      <c r="K433" s="7"/>
      <c r="L433" s="7"/>
      <c r="M433" s="7"/>
      <c r="N433" s="7"/>
      <c r="O433" s="7"/>
      <c r="P433" s="7"/>
      <c r="Q433" s="7"/>
      <c r="R433" s="7"/>
      <c r="S433" s="7"/>
      <c r="T433" s="7"/>
      <c r="U433" s="7"/>
      <c r="V433" s="7"/>
      <c r="W433" s="7"/>
      <c r="X433" s="7"/>
      <c r="Y433" s="7"/>
      <c r="Z433" s="7"/>
      <c r="AA433" s="7"/>
      <c r="AB433" s="7"/>
      <c r="AC433" s="7"/>
      <c r="AD433" s="7"/>
      <c r="AE433" s="132"/>
      <c r="AF433" s="132"/>
      <c r="AG433" s="113"/>
    </row>
    <row r="434" spans="2:33">
      <c r="B434" s="7"/>
      <c r="C434" s="7"/>
      <c r="D434" s="7"/>
      <c r="E434" s="7"/>
      <c r="F434" s="7"/>
      <c r="G434" s="7"/>
      <c r="H434" s="7"/>
      <c r="I434" s="7"/>
      <c r="J434" s="7"/>
      <c r="K434" s="7"/>
      <c r="L434" s="7"/>
      <c r="M434" s="7"/>
      <c r="N434" s="7"/>
      <c r="O434" s="7"/>
      <c r="P434" s="7"/>
      <c r="Q434" s="7"/>
      <c r="R434" s="7"/>
      <c r="S434" s="7"/>
      <c r="T434" s="7"/>
      <c r="U434" s="7"/>
      <c r="V434" s="7"/>
      <c r="W434" s="7"/>
      <c r="X434" s="7"/>
      <c r="Y434" s="7"/>
      <c r="Z434" s="7"/>
      <c r="AA434" s="7"/>
      <c r="AB434" s="7"/>
      <c r="AC434" s="7"/>
      <c r="AD434" s="7"/>
      <c r="AE434" s="132"/>
      <c r="AF434" s="132"/>
      <c r="AG434" s="113"/>
    </row>
    <row r="435" spans="2:33">
      <c r="B435" s="7"/>
      <c r="C435" s="7"/>
      <c r="D435" s="7"/>
      <c r="E435" s="7"/>
      <c r="F435" s="7"/>
      <c r="G435" s="7"/>
      <c r="H435" s="7"/>
      <c r="I435" s="7"/>
      <c r="J435" s="7"/>
      <c r="K435" s="7"/>
      <c r="L435" s="7"/>
      <c r="M435" s="7"/>
      <c r="N435" s="7"/>
      <c r="O435" s="7"/>
      <c r="P435" s="7"/>
      <c r="Q435" s="7"/>
      <c r="R435" s="7"/>
      <c r="S435" s="7"/>
      <c r="T435" s="7"/>
      <c r="U435" s="7"/>
      <c r="V435" s="7"/>
      <c r="W435" s="7"/>
      <c r="X435" s="7"/>
      <c r="Y435" s="7"/>
      <c r="Z435" s="7"/>
      <c r="AA435" s="7"/>
      <c r="AB435" s="7"/>
      <c r="AC435" s="7"/>
      <c r="AD435" s="7"/>
      <c r="AE435" s="132"/>
      <c r="AF435" s="132"/>
      <c r="AG435" s="113"/>
    </row>
    <row r="436" spans="2:33">
      <c r="B436" s="7"/>
      <c r="C436" s="7"/>
      <c r="D436" s="7"/>
      <c r="E436" s="7"/>
      <c r="F436" s="7"/>
      <c r="G436" s="7"/>
      <c r="H436" s="7"/>
      <c r="I436" s="7"/>
      <c r="J436" s="7"/>
      <c r="K436" s="7"/>
      <c r="L436" s="7"/>
      <c r="M436" s="7"/>
      <c r="N436" s="7"/>
      <c r="O436" s="7"/>
      <c r="P436" s="7"/>
      <c r="Q436" s="7"/>
      <c r="R436" s="7"/>
      <c r="S436" s="7"/>
      <c r="T436" s="7"/>
      <c r="U436" s="7"/>
      <c r="V436" s="7"/>
      <c r="W436" s="7"/>
      <c r="X436" s="7"/>
      <c r="Y436" s="7"/>
      <c r="Z436" s="7"/>
      <c r="AA436" s="7"/>
      <c r="AB436" s="7"/>
      <c r="AC436" s="7"/>
      <c r="AD436" s="7"/>
      <c r="AE436" s="132"/>
      <c r="AF436" s="132"/>
      <c r="AG436" s="113"/>
    </row>
    <row r="437" spans="2:33">
      <c r="B437" s="7"/>
      <c r="C437" s="7"/>
      <c r="D437" s="7"/>
      <c r="E437" s="7"/>
      <c r="F437" s="7"/>
      <c r="G437" s="7"/>
      <c r="H437" s="7"/>
      <c r="I437" s="7"/>
      <c r="J437" s="7"/>
      <c r="K437" s="7"/>
      <c r="L437" s="7"/>
      <c r="M437" s="7"/>
      <c r="N437" s="7"/>
      <c r="O437" s="7"/>
      <c r="P437" s="7"/>
      <c r="Q437" s="7"/>
      <c r="R437" s="7"/>
      <c r="S437" s="7"/>
      <c r="T437" s="7"/>
      <c r="U437" s="7"/>
      <c r="V437" s="7"/>
      <c r="W437" s="7"/>
      <c r="X437" s="7"/>
      <c r="Y437" s="7"/>
      <c r="Z437" s="7"/>
      <c r="AA437" s="7"/>
      <c r="AB437" s="7"/>
      <c r="AC437" s="7"/>
      <c r="AD437" s="7"/>
      <c r="AE437" s="132"/>
      <c r="AF437" s="132"/>
      <c r="AG437" s="113"/>
    </row>
    <row r="438" spans="2:33">
      <c r="B438" s="7"/>
      <c r="C438" s="7"/>
      <c r="D438" s="7"/>
      <c r="E438" s="7"/>
      <c r="F438" s="7"/>
      <c r="G438" s="7"/>
      <c r="H438" s="7"/>
      <c r="I438" s="7"/>
      <c r="J438" s="7"/>
      <c r="K438" s="7"/>
      <c r="L438" s="7"/>
      <c r="M438" s="7"/>
      <c r="N438" s="7"/>
      <c r="O438" s="7"/>
      <c r="P438" s="7"/>
      <c r="Q438" s="7"/>
      <c r="R438" s="7"/>
      <c r="S438" s="7"/>
      <c r="T438" s="7"/>
      <c r="U438" s="7"/>
      <c r="V438" s="7"/>
      <c r="W438" s="7"/>
      <c r="X438" s="7"/>
      <c r="Y438" s="7"/>
      <c r="Z438" s="7"/>
      <c r="AA438" s="7"/>
      <c r="AB438" s="7"/>
      <c r="AC438" s="7"/>
      <c r="AD438" s="7"/>
      <c r="AE438" s="132"/>
      <c r="AF438" s="132"/>
      <c r="AG438" s="113"/>
    </row>
    <row r="439" spans="2:33">
      <c r="B439" s="7"/>
      <c r="C439" s="7"/>
      <c r="D439" s="7"/>
      <c r="E439" s="7"/>
      <c r="F439" s="7"/>
      <c r="G439" s="7"/>
      <c r="H439" s="7"/>
      <c r="I439" s="7"/>
      <c r="J439" s="7"/>
      <c r="K439" s="7"/>
      <c r="L439" s="7"/>
      <c r="M439" s="7"/>
      <c r="N439" s="7"/>
      <c r="O439" s="7"/>
      <c r="P439" s="7"/>
      <c r="Q439" s="7"/>
      <c r="R439" s="7"/>
      <c r="S439" s="7"/>
      <c r="T439" s="7"/>
      <c r="U439" s="7"/>
      <c r="V439" s="7"/>
      <c r="W439" s="7"/>
      <c r="X439" s="7"/>
      <c r="Y439" s="7"/>
      <c r="Z439" s="7"/>
      <c r="AA439" s="7"/>
      <c r="AB439" s="7"/>
      <c r="AC439" s="7"/>
      <c r="AD439" s="7"/>
      <c r="AE439" s="132"/>
      <c r="AF439" s="132"/>
      <c r="AG439" s="113"/>
    </row>
    <row r="440" spans="2:33">
      <c r="B440" s="7"/>
      <c r="C440" s="7"/>
      <c r="D440" s="7"/>
      <c r="E440" s="7"/>
      <c r="F440" s="7"/>
      <c r="G440" s="7"/>
      <c r="H440" s="7"/>
      <c r="I440" s="7"/>
      <c r="J440" s="7"/>
      <c r="K440" s="7"/>
      <c r="L440" s="7"/>
      <c r="M440" s="7"/>
      <c r="N440" s="7"/>
      <c r="O440" s="7"/>
      <c r="P440" s="7"/>
      <c r="Q440" s="7"/>
      <c r="R440" s="7"/>
      <c r="S440" s="7"/>
      <c r="T440" s="7"/>
      <c r="U440" s="7"/>
      <c r="V440" s="7"/>
      <c r="W440" s="7"/>
      <c r="X440" s="7"/>
      <c r="Y440" s="7"/>
      <c r="Z440" s="7"/>
      <c r="AA440" s="7"/>
      <c r="AB440" s="7"/>
      <c r="AC440" s="7"/>
      <c r="AD440" s="7"/>
      <c r="AE440" s="132"/>
      <c r="AF440" s="132"/>
      <c r="AG440" s="113"/>
    </row>
    <row r="441" spans="2:33">
      <c r="B441" s="7"/>
      <c r="C441" s="7"/>
      <c r="D441" s="7"/>
      <c r="E441" s="7"/>
      <c r="F441" s="7"/>
      <c r="G441" s="7"/>
      <c r="H441" s="7"/>
      <c r="I441" s="7"/>
      <c r="J441" s="7"/>
      <c r="K441" s="7"/>
      <c r="L441" s="7"/>
      <c r="M441" s="7"/>
      <c r="N441" s="7"/>
      <c r="O441" s="7"/>
      <c r="P441" s="7"/>
      <c r="Q441" s="7"/>
      <c r="R441" s="7"/>
      <c r="S441" s="7"/>
      <c r="T441" s="7"/>
      <c r="U441" s="7"/>
      <c r="V441" s="7"/>
      <c r="W441" s="7"/>
      <c r="X441" s="7"/>
      <c r="Y441" s="7"/>
      <c r="Z441" s="7"/>
      <c r="AA441" s="7"/>
      <c r="AB441" s="7"/>
      <c r="AC441" s="7"/>
      <c r="AD441" s="7"/>
      <c r="AE441" s="132"/>
      <c r="AF441" s="132"/>
      <c r="AG441" s="113"/>
    </row>
    <row r="442" spans="2:33">
      <c r="B442" s="7"/>
      <c r="C442" s="7"/>
      <c r="D442" s="7"/>
      <c r="E442" s="7"/>
      <c r="F442" s="7"/>
      <c r="G442" s="7"/>
      <c r="H442" s="7"/>
      <c r="I442" s="7"/>
      <c r="J442" s="7"/>
      <c r="K442" s="7"/>
      <c r="L442" s="7"/>
      <c r="M442" s="7"/>
      <c r="N442" s="7"/>
      <c r="O442" s="7"/>
      <c r="P442" s="7"/>
      <c r="Q442" s="7"/>
      <c r="R442" s="7"/>
      <c r="S442" s="7"/>
      <c r="T442" s="7"/>
      <c r="U442" s="7"/>
      <c r="V442" s="7"/>
      <c r="W442" s="7"/>
      <c r="X442" s="7"/>
      <c r="Y442" s="7"/>
      <c r="Z442" s="7"/>
      <c r="AA442" s="7"/>
      <c r="AB442" s="7"/>
      <c r="AC442" s="7"/>
      <c r="AD442" s="7"/>
      <c r="AE442" s="132"/>
      <c r="AF442" s="132"/>
      <c r="AG442" s="113"/>
    </row>
    <row r="443" spans="2:33">
      <c r="B443" s="7"/>
      <c r="C443" s="7"/>
      <c r="D443" s="7"/>
      <c r="E443" s="7"/>
      <c r="F443" s="7"/>
      <c r="G443" s="7"/>
      <c r="H443" s="7"/>
      <c r="I443" s="7"/>
      <c r="J443" s="7"/>
      <c r="K443" s="7"/>
      <c r="L443" s="7"/>
      <c r="M443" s="7"/>
      <c r="N443" s="7"/>
      <c r="O443" s="7"/>
      <c r="P443" s="7"/>
      <c r="Q443" s="7"/>
      <c r="R443" s="7"/>
      <c r="S443" s="7"/>
      <c r="T443" s="7"/>
      <c r="U443" s="7"/>
      <c r="V443" s="7"/>
      <c r="W443" s="7"/>
      <c r="X443" s="7"/>
      <c r="Y443" s="7"/>
      <c r="Z443" s="7"/>
      <c r="AA443" s="7"/>
      <c r="AB443" s="7"/>
      <c r="AC443" s="7"/>
      <c r="AD443" s="7"/>
      <c r="AE443" s="132"/>
      <c r="AF443" s="132"/>
      <c r="AG443" s="113"/>
    </row>
    <row r="444" spans="2:33">
      <c r="B444" s="7"/>
      <c r="C444" s="7"/>
      <c r="D444" s="7"/>
      <c r="E444" s="7"/>
      <c r="F444" s="7"/>
      <c r="G444" s="7"/>
      <c r="H444" s="7"/>
      <c r="I444" s="7"/>
      <c r="J444" s="7"/>
      <c r="K444" s="7"/>
      <c r="L444" s="7"/>
      <c r="M444" s="7"/>
      <c r="N444" s="7"/>
      <c r="O444" s="7"/>
      <c r="P444" s="7"/>
      <c r="Q444" s="7"/>
      <c r="R444" s="7"/>
      <c r="S444" s="7"/>
      <c r="T444" s="7"/>
      <c r="U444" s="7"/>
      <c r="V444" s="7"/>
      <c r="W444" s="7"/>
      <c r="X444" s="7"/>
      <c r="Y444" s="7"/>
      <c r="Z444" s="7"/>
      <c r="AA444" s="7"/>
      <c r="AB444" s="7"/>
      <c r="AC444" s="7"/>
      <c r="AD444" s="7"/>
      <c r="AE444" s="132"/>
      <c r="AF444" s="132"/>
      <c r="AG444" s="113"/>
    </row>
    <row r="445" spans="2:33">
      <c r="B445" s="7"/>
      <c r="C445" s="7"/>
      <c r="D445" s="7"/>
      <c r="E445" s="7"/>
      <c r="F445" s="7"/>
      <c r="G445" s="7"/>
      <c r="H445" s="7"/>
      <c r="I445" s="7"/>
      <c r="J445" s="7"/>
      <c r="K445" s="7"/>
      <c r="L445" s="7"/>
      <c r="M445" s="7"/>
      <c r="N445" s="7"/>
      <c r="O445" s="7"/>
      <c r="P445" s="7"/>
      <c r="Q445" s="7"/>
      <c r="R445" s="7"/>
      <c r="S445" s="7"/>
      <c r="T445" s="7"/>
      <c r="U445" s="7"/>
      <c r="V445" s="7"/>
      <c r="W445" s="7"/>
      <c r="X445" s="7"/>
      <c r="Y445" s="7"/>
      <c r="Z445" s="7"/>
      <c r="AA445" s="7"/>
      <c r="AB445" s="7"/>
      <c r="AC445" s="7"/>
      <c r="AD445" s="7"/>
      <c r="AE445" s="132"/>
      <c r="AF445" s="132"/>
      <c r="AG445" s="113"/>
    </row>
    <row r="446" spans="2:33">
      <c r="B446" s="7"/>
      <c r="C446" s="7"/>
      <c r="D446" s="7"/>
      <c r="E446" s="7"/>
      <c r="F446" s="7"/>
      <c r="G446" s="7"/>
      <c r="H446" s="7"/>
      <c r="I446" s="7"/>
      <c r="J446" s="7"/>
      <c r="K446" s="7"/>
      <c r="L446" s="7"/>
      <c r="M446" s="7"/>
      <c r="N446" s="7"/>
      <c r="O446" s="7"/>
      <c r="P446" s="7"/>
      <c r="Q446" s="7"/>
      <c r="R446" s="7"/>
      <c r="S446" s="7"/>
      <c r="T446" s="7"/>
      <c r="U446" s="7"/>
      <c r="V446" s="7"/>
      <c r="W446" s="7"/>
      <c r="X446" s="7"/>
      <c r="Y446" s="7"/>
      <c r="Z446" s="7"/>
      <c r="AA446" s="7"/>
      <c r="AB446" s="7"/>
      <c r="AC446" s="7"/>
      <c r="AD446" s="7"/>
      <c r="AE446" s="132"/>
      <c r="AF446" s="132"/>
      <c r="AG446" s="113"/>
    </row>
    <row r="447" spans="2:33">
      <c r="B447" s="7"/>
      <c r="C447" s="7"/>
      <c r="D447" s="7"/>
      <c r="E447" s="7"/>
      <c r="F447" s="7"/>
      <c r="G447" s="7"/>
      <c r="H447" s="7"/>
      <c r="I447" s="7"/>
      <c r="J447" s="7"/>
      <c r="K447" s="7"/>
      <c r="L447" s="7"/>
      <c r="M447" s="7"/>
      <c r="N447" s="7"/>
      <c r="O447" s="7"/>
      <c r="P447" s="7"/>
      <c r="Q447" s="7"/>
      <c r="R447" s="7"/>
      <c r="S447" s="7"/>
      <c r="T447" s="7"/>
      <c r="U447" s="7"/>
      <c r="V447" s="7"/>
      <c r="W447" s="7"/>
      <c r="X447" s="7"/>
      <c r="Y447" s="7"/>
      <c r="Z447" s="7"/>
      <c r="AA447" s="7"/>
      <c r="AB447" s="7"/>
      <c r="AC447" s="7"/>
      <c r="AD447" s="7"/>
      <c r="AE447" s="132"/>
      <c r="AF447" s="132"/>
      <c r="AG447" s="113"/>
    </row>
    <row r="448" spans="2:33">
      <c r="B448" s="7"/>
      <c r="C448" s="7"/>
      <c r="D448" s="7"/>
      <c r="E448" s="7"/>
      <c r="F448" s="7"/>
      <c r="G448" s="7"/>
      <c r="H448" s="7"/>
      <c r="I448" s="7"/>
      <c r="J448" s="7"/>
      <c r="K448" s="7"/>
      <c r="L448" s="7"/>
      <c r="M448" s="7"/>
      <c r="N448" s="7"/>
      <c r="O448" s="7"/>
      <c r="P448" s="7"/>
      <c r="Q448" s="7"/>
      <c r="R448" s="7"/>
      <c r="S448" s="7"/>
      <c r="T448" s="7"/>
      <c r="U448" s="7"/>
      <c r="V448" s="7"/>
      <c r="W448" s="7"/>
      <c r="X448" s="7"/>
      <c r="Y448" s="7"/>
      <c r="Z448" s="7"/>
      <c r="AA448" s="7"/>
      <c r="AB448" s="7"/>
      <c r="AC448" s="7"/>
      <c r="AD448" s="7"/>
      <c r="AE448" s="132"/>
      <c r="AF448" s="132"/>
      <c r="AG448" s="113"/>
    </row>
    <row r="449" spans="2:33">
      <c r="B449" s="7"/>
      <c r="C449" s="7"/>
      <c r="D449" s="7"/>
      <c r="E449" s="7"/>
      <c r="F449" s="7"/>
      <c r="G449" s="7"/>
      <c r="H449" s="7"/>
      <c r="I449" s="7"/>
      <c r="J449" s="7"/>
      <c r="K449" s="7"/>
      <c r="L449" s="7"/>
      <c r="M449" s="7"/>
      <c r="N449" s="7"/>
      <c r="O449" s="7"/>
      <c r="P449" s="7"/>
      <c r="Q449" s="7"/>
      <c r="R449" s="7"/>
      <c r="S449" s="7"/>
      <c r="T449" s="7"/>
      <c r="U449" s="7"/>
      <c r="V449" s="7"/>
      <c r="W449" s="7"/>
      <c r="X449" s="7"/>
      <c r="Y449" s="7"/>
      <c r="Z449" s="7"/>
      <c r="AA449" s="7"/>
      <c r="AB449" s="7"/>
      <c r="AC449" s="7"/>
      <c r="AD449" s="7"/>
      <c r="AE449" s="132"/>
      <c r="AF449" s="132"/>
      <c r="AG449" s="113"/>
    </row>
    <row r="450" spans="2:33">
      <c r="B450" s="7"/>
      <c r="C450" s="7"/>
      <c r="D450" s="7"/>
      <c r="E450" s="7"/>
      <c r="F450" s="7"/>
      <c r="G450" s="7"/>
      <c r="H450" s="7"/>
      <c r="I450" s="7"/>
      <c r="J450" s="7"/>
      <c r="K450" s="7"/>
      <c r="L450" s="7"/>
      <c r="M450" s="7"/>
      <c r="N450" s="7"/>
      <c r="O450" s="7"/>
      <c r="P450" s="7"/>
      <c r="Q450" s="7"/>
      <c r="R450" s="7"/>
      <c r="S450" s="7"/>
      <c r="T450" s="7"/>
      <c r="U450" s="7"/>
      <c r="V450" s="7"/>
      <c r="W450" s="7"/>
      <c r="X450" s="7"/>
      <c r="Y450" s="7"/>
      <c r="Z450" s="7"/>
      <c r="AA450" s="7"/>
      <c r="AB450" s="7"/>
      <c r="AC450" s="7"/>
      <c r="AD450" s="7"/>
      <c r="AE450" s="132"/>
      <c r="AF450" s="132"/>
      <c r="AG450" s="113"/>
    </row>
    <row r="451" spans="2:33">
      <c r="B451" s="7"/>
      <c r="C451" s="7"/>
      <c r="D451" s="7"/>
      <c r="E451" s="7"/>
      <c r="F451" s="7"/>
      <c r="G451" s="7"/>
      <c r="H451" s="7"/>
      <c r="I451" s="7"/>
      <c r="J451" s="7"/>
      <c r="K451" s="7"/>
      <c r="L451" s="7"/>
      <c r="M451" s="7"/>
      <c r="N451" s="7"/>
      <c r="O451" s="7"/>
      <c r="P451" s="7"/>
      <c r="Q451" s="7"/>
      <c r="R451" s="7"/>
      <c r="S451" s="7"/>
      <c r="T451" s="7"/>
      <c r="U451" s="7"/>
      <c r="V451" s="7"/>
      <c r="W451" s="7"/>
      <c r="X451" s="7"/>
      <c r="Y451" s="7"/>
      <c r="Z451" s="7"/>
      <c r="AA451" s="7"/>
      <c r="AB451" s="7"/>
      <c r="AC451" s="7"/>
      <c r="AD451" s="7"/>
      <c r="AE451" s="132"/>
      <c r="AF451" s="132"/>
      <c r="AG451" s="113"/>
    </row>
    <row r="452" spans="2:33">
      <c r="B452" s="7"/>
      <c r="C452" s="7"/>
      <c r="D452" s="7"/>
      <c r="E452" s="7"/>
      <c r="F452" s="7"/>
      <c r="G452" s="7"/>
      <c r="H452" s="7"/>
      <c r="I452" s="7"/>
      <c r="J452" s="7"/>
      <c r="K452" s="7"/>
      <c r="L452" s="7"/>
      <c r="M452" s="7"/>
      <c r="N452" s="7"/>
      <c r="O452" s="7"/>
      <c r="P452" s="7"/>
      <c r="Q452" s="7"/>
      <c r="R452" s="7"/>
      <c r="S452" s="7"/>
      <c r="T452" s="7"/>
      <c r="U452" s="7"/>
      <c r="V452" s="7"/>
      <c r="W452" s="7"/>
      <c r="X452" s="7"/>
      <c r="Y452" s="7"/>
      <c r="Z452" s="7"/>
      <c r="AA452" s="7"/>
      <c r="AB452" s="7"/>
      <c r="AC452" s="7"/>
      <c r="AD452" s="7"/>
      <c r="AE452" s="132"/>
      <c r="AF452" s="132"/>
      <c r="AG452" s="113"/>
    </row>
    <row r="453" spans="2:33">
      <c r="B453" s="7"/>
      <c r="C453" s="7"/>
      <c r="D453" s="7"/>
      <c r="E453" s="7"/>
      <c r="F453" s="7"/>
      <c r="G453" s="7"/>
      <c r="H453" s="7"/>
      <c r="I453" s="7"/>
      <c r="J453" s="7"/>
      <c r="K453" s="7"/>
      <c r="L453" s="7"/>
      <c r="M453" s="7"/>
      <c r="N453" s="7"/>
      <c r="O453" s="7"/>
      <c r="P453" s="7"/>
      <c r="Q453" s="7"/>
      <c r="R453" s="7"/>
      <c r="S453" s="7"/>
      <c r="T453" s="7"/>
      <c r="U453" s="7"/>
      <c r="V453" s="7"/>
      <c r="W453" s="7"/>
      <c r="X453" s="7"/>
      <c r="Y453" s="7"/>
      <c r="Z453" s="7"/>
      <c r="AA453" s="7"/>
      <c r="AB453" s="7"/>
      <c r="AC453" s="7"/>
      <c r="AD453" s="7"/>
      <c r="AE453" s="132"/>
      <c r="AF453" s="132"/>
      <c r="AG453" s="113"/>
    </row>
    <row r="454" spans="2:33">
      <c r="B454" s="7"/>
      <c r="C454" s="7"/>
      <c r="D454" s="7"/>
      <c r="E454" s="7"/>
      <c r="F454" s="7"/>
      <c r="G454" s="7"/>
      <c r="H454" s="7"/>
      <c r="I454" s="7"/>
      <c r="J454" s="7"/>
      <c r="K454" s="7"/>
      <c r="L454" s="7"/>
      <c r="M454" s="7"/>
      <c r="N454" s="7"/>
      <c r="O454" s="7"/>
      <c r="P454" s="7"/>
      <c r="Q454" s="7"/>
      <c r="R454" s="7"/>
      <c r="S454" s="7"/>
      <c r="T454" s="7"/>
      <c r="U454" s="7"/>
      <c r="V454" s="7"/>
      <c r="W454" s="7"/>
      <c r="X454" s="7"/>
      <c r="Y454" s="7"/>
      <c r="Z454" s="7"/>
      <c r="AA454" s="7"/>
      <c r="AB454" s="7"/>
      <c r="AC454" s="7"/>
      <c r="AD454" s="7"/>
      <c r="AE454" s="132"/>
      <c r="AF454" s="132"/>
      <c r="AG454" s="113"/>
    </row>
    <row r="455" spans="2:33">
      <c r="B455" s="7"/>
      <c r="C455" s="7"/>
      <c r="D455" s="7"/>
      <c r="E455" s="7"/>
      <c r="F455" s="7"/>
      <c r="G455" s="7"/>
      <c r="H455" s="7"/>
      <c r="I455" s="7"/>
      <c r="J455" s="7"/>
      <c r="K455" s="7"/>
      <c r="L455" s="7"/>
      <c r="M455" s="7"/>
      <c r="N455" s="7"/>
      <c r="O455" s="7"/>
      <c r="P455" s="7"/>
      <c r="Q455" s="7"/>
      <c r="R455" s="7"/>
      <c r="S455" s="7"/>
      <c r="T455" s="7"/>
      <c r="U455" s="7"/>
      <c r="V455" s="7"/>
      <c r="W455" s="7"/>
      <c r="X455" s="7"/>
      <c r="Y455" s="7"/>
      <c r="Z455" s="7"/>
      <c r="AA455" s="7"/>
      <c r="AB455" s="7"/>
      <c r="AC455" s="7"/>
      <c r="AD455" s="7"/>
      <c r="AE455" s="132"/>
      <c r="AF455" s="132"/>
      <c r="AG455" s="113"/>
    </row>
    <row r="456" spans="2:33">
      <c r="B456" s="7"/>
      <c r="C456" s="7"/>
      <c r="D456" s="7"/>
      <c r="E456" s="7"/>
      <c r="F456" s="7"/>
      <c r="G456" s="7"/>
      <c r="H456" s="7"/>
      <c r="I456" s="7"/>
      <c r="J456" s="7"/>
      <c r="K456" s="7"/>
      <c r="L456" s="7"/>
      <c r="M456" s="7"/>
      <c r="N456" s="7"/>
      <c r="O456" s="7"/>
      <c r="P456" s="7"/>
      <c r="Q456" s="7"/>
      <c r="R456" s="7"/>
      <c r="S456" s="7"/>
      <c r="T456" s="7"/>
      <c r="U456" s="7"/>
      <c r="V456" s="7"/>
      <c r="W456" s="7"/>
      <c r="X456" s="7"/>
      <c r="Y456" s="7"/>
      <c r="Z456" s="7"/>
      <c r="AA456" s="7"/>
      <c r="AB456" s="7"/>
      <c r="AC456" s="7"/>
      <c r="AD456" s="7"/>
      <c r="AE456" s="132"/>
      <c r="AF456" s="132"/>
      <c r="AG456" s="113"/>
    </row>
    <row r="457" spans="2:33">
      <c r="B457" s="7"/>
      <c r="C457" s="7"/>
      <c r="D457" s="7"/>
      <c r="E457" s="7"/>
      <c r="F457" s="7"/>
      <c r="G457" s="7"/>
      <c r="H457" s="7"/>
      <c r="I457" s="7"/>
      <c r="J457" s="7"/>
      <c r="K457" s="7"/>
      <c r="L457" s="7"/>
      <c r="M457" s="7"/>
      <c r="N457" s="7"/>
      <c r="O457" s="7"/>
      <c r="P457" s="7"/>
      <c r="Q457" s="7"/>
      <c r="R457" s="7"/>
      <c r="S457" s="7"/>
      <c r="T457" s="7"/>
      <c r="U457" s="7"/>
      <c r="V457" s="7"/>
      <c r="W457" s="7"/>
      <c r="X457" s="7"/>
      <c r="Y457" s="7"/>
      <c r="Z457" s="7"/>
      <c r="AA457" s="7"/>
      <c r="AB457" s="7"/>
      <c r="AC457" s="7"/>
      <c r="AD457" s="7"/>
      <c r="AE457" s="132"/>
      <c r="AF457" s="132"/>
      <c r="AG457" s="113"/>
    </row>
    <row r="458" spans="2:33">
      <c r="B458" s="7"/>
      <c r="C458" s="7"/>
      <c r="D458" s="7"/>
      <c r="E458" s="7"/>
      <c r="F458" s="7"/>
      <c r="G458" s="7"/>
      <c r="H458" s="7"/>
      <c r="I458" s="7"/>
      <c r="J458" s="7"/>
      <c r="K458" s="7"/>
      <c r="L458" s="7"/>
      <c r="M458" s="7"/>
      <c r="N458" s="7"/>
      <c r="O458" s="7"/>
      <c r="P458" s="7"/>
      <c r="Q458" s="7"/>
      <c r="R458" s="7"/>
      <c r="S458" s="7"/>
      <c r="T458" s="7"/>
      <c r="U458" s="7"/>
      <c r="V458" s="7"/>
      <c r="W458" s="7"/>
      <c r="X458" s="7"/>
      <c r="Y458" s="7"/>
      <c r="Z458" s="7"/>
      <c r="AA458" s="7"/>
      <c r="AB458" s="7"/>
      <c r="AC458" s="7"/>
      <c r="AD458" s="7"/>
      <c r="AE458" s="132"/>
      <c r="AF458" s="132"/>
      <c r="AG458" s="113"/>
    </row>
    <row r="459" spans="2:33">
      <c r="B459" s="7"/>
      <c r="C459" s="7"/>
      <c r="D459" s="7"/>
      <c r="E459" s="7"/>
      <c r="F459" s="7"/>
      <c r="G459" s="7"/>
      <c r="H459" s="7"/>
      <c r="I459" s="7"/>
      <c r="J459" s="7"/>
      <c r="K459" s="7"/>
      <c r="L459" s="7"/>
      <c r="M459" s="7"/>
      <c r="N459" s="7"/>
      <c r="O459" s="7"/>
      <c r="P459" s="7"/>
      <c r="Q459" s="7"/>
      <c r="R459" s="7"/>
      <c r="S459" s="7"/>
      <c r="T459" s="7"/>
      <c r="U459" s="7"/>
      <c r="V459" s="7"/>
      <c r="W459" s="7"/>
      <c r="X459" s="7"/>
      <c r="Y459" s="7"/>
      <c r="Z459" s="7"/>
      <c r="AA459" s="7"/>
      <c r="AB459" s="7"/>
      <c r="AC459" s="7"/>
      <c r="AD459" s="7"/>
      <c r="AE459" s="132"/>
      <c r="AF459" s="132"/>
      <c r="AG459" s="113"/>
    </row>
    <row r="460" spans="2:33">
      <c r="B460" s="7"/>
      <c r="C460" s="7"/>
      <c r="D460" s="7"/>
      <c r="E460" s="7"/>
      <c r="F460" s="7"/>
      <c r="G460" s="7"/>
      <c r="H460" s="7"/>
      <c r="I460" s="7"/>
      <c r="J460" s="7"/>
      <c r="K460" s="7"/>
      <c r="L460" s="7"/>
      <c r="M460" s="7"/>
      <c r="N460" s="7"/>
      <c r="O460" s="7"/>
      <c r="P460" s="7"/>
      <c r="Q460" s="7"/>
      <c r="R460" s="7"/>
      <c r="S460" s="7"/>
      <c r="T460" s="7"/>
      <c r="U460" s="7"/>
      <c r="V460" s="7"/>
      <c r="W460" s="7"/>
      <c r="X460" s="7"/>
      <c r="Y460" s="7"/>
      <c r="Z460" s="7"/>
      <c r="AA460" s="7"/>
      <c r="AB460" s="7"/>
      <c r="AC460" s="7"/>
      <c r="AD460" s="7"/>
      <c r="AE460" s="132"/>
      <c r="AF460" s="132"/>
      <c r="AG460" s="113"/>
    </row>
    <row r="461" spans="2:33">
      <c r="B461" s="7"/>
      <c r="C461" s="7"/>
      <c r="D461" s="7"/>
      <c r="E461" s="7"/>
      <c r="F461" s="7"/>
      <c r="G461" s="7"/>
      <c r="H461" s="7"/>
      <c r="I461" s="7"/>
      <c r="J461" s="7"/>
      <c r="K461" s="7"/>
      <c r="L461" s="7"/>
      <c r="M461" s="7"/>
      <c r="N461" s="7"/>
      <c r="O461" s="7"/>
      <c r="P461" s="7"/>
      <c r="Q461" s="7"/>
      <c r="R461" s="7"/>
      <c r="S461" s="7"/>
      <c r="T461" s="7"/>
      <c r="U461" s="7"/>
      <c r="V461" s="7"/>
      <c r="W461" s="7"/>
      <c r="X461" s="7"/>
      <c r="Y461" s="7"/>
      <c r="Z461" s="7"/>
      <c r="AA461" s="7"/>
      <c r="AB461" s="7"/>
      <c r="AC461" s="7"/>
      <c r="AD461" s="7"/>
      <c r="AE461" s="132"/>
      <c r="AF461" s="132"/>
      <c r="AG461" s="113"/>
    </row>
    <row r="462" spans="2:33">
      <c r="B462" s="7"/>
      <c r="C462" s="7"/>
      <c r="D462" s="7"/>
      <c r="E462" s="7"/>
      <c r="F462" s="7"/>
      <c r="G462" s="7"/>
      <c r="H462" s="7"/>
      <c r="I462" s="7"/>
      <c r="J462" s="7"/>
      <c r="K462" s="7"/>
      <c r="L462" s="7"/>
      <c r="M462" s="7"/>
      <c r="N462" s="7"/>
      <c r="O462" s="7"/>
      <c r="P462" s="7"/>
      <c r="Q462" s="7"/>
      <c r="R462" s="7"/>
      <c r="S462" s="7"/>
      <c r="T462" s="7"/>
      <c r="U462" s="7"/>
      <c r="V462" s="7"/>
      <c r="W462" s="7"/>
      <c r="X462" s="7"/>
      <c r="Y462" s="7"/>
      <c r="Z462" s="7"/>
      <c r="AA462" s="7"/>
      <c r="AB462" s="7"/>
      <c r="AC462" s="7"/>
      <c r="AD462" s="7"/>
      <c r="AE462" s="132"/>
      <c r="AF462" s="132"/>
      <c r="AG462" s="113"/>
    </row>
    <row r="463" spans="2:33">
      <c r="B463" s="7"/>
      <c r="C463" s="7"/>
      <c r="D463" s="7"/>
      <c r="E463" s="7"/>
      <c r="F463" s="7"/>
      <c r="G463" s="7"/>
      <c r="H463" s="7"/>
      <c r="I463" s="7"/>
      <c r="J463" s="7"/>
      <c r="K463" s="7"/>
      <c r="L463" s="7"/>
      <c r="M463" s="7"/>
      <c r="N463" s="7"/>
      <c r="O463" s="7"/>
      <c r="P463" s="7"/>
      <c r="Q463" s="7"/>
      <c r="R463" s="7"/>
      <c r="S463" s="7"/>
      <c r="T463" s="7"/>
      <c r="U463" s="7"/>
      <c r="V463" s="7"/>
      <c r="W463" s="7"/>
      <c r="X463" s="7"/>
      <c r="Y463" s="7"/>
      <c r="Z463" s="7"/>
      <c r="AA463" s="7"/>
      <c r="AB463" s="7"/>
      <c r="AC463" s="7"/>
      <c r="AD463" s="7"/>
      <c r="AE463" s="132"/>
      <c r="AF463" s="132"/>
      <c r="AG463" s="113"/>
    </row>
    <row r="464" spans="2:33">
      <c r="B464" s="7"/>
      <c r="C464" s="7"/>
      <c r="D464" s="7"/>
      <c r="E464" s="7"/>
      <c r="F464" s="7"/>
      <c r="G464" s="7"/>
      <c r="H464" s="7"/>
      <c r="I464" s="7"/>
      <c r="J464" s="7"/>
      <c r="K464" s="7"/>
      <c r="L464" s="7"/>
      <c r="M464" s="7"/>
      <c r="N464" s="7"/>
      <c r="O464" s="7"/>
      <c r="P464" s="7"/>
      <c r="Q464" s="7"/>
      <c r="R464" s="7"/>
      <c r="S464" s="7"/>
      <c r="T464" s="7"/>
      <c r="U464" s="7"/>
      <c r="V464" s="7"/>
      <c r="W464" s="7"/>
      <c r="X464" s="7"/>
      <c r="Y464" s="7"/>
      <c r="Z464" s="7"/>
      <c r="AA464" s="7"/>
      <c r="AB464" s="7"/>
      <c r="AC464" s="7"/>
      <c r="AD464" s="7"/>
      <c r="AE464" s="132"/>
      <c r="AF464" s="132"/>
      <c r="AG464" s="113"/>
    </row>
    <row r="465" spans="2:33">
      <c r="B465" s="7"/>
      <c r="C465" s="7"/>
      <c r="D465" s="7"/>
      <c r="E465" s="7"/>
      <c r="F465" s="7"/>
      <c r="G465" s="7"/>
      <c r="H465" s="7"/>
      <c r="I465" s="7"/>
      <c r="J465" s="7"/>
      <c r="K465" s="7"/>
      <c r="L465" s="7"/>
      <c r="M465" s="7"/>
      <c r="N465" s="7"/>
      <c r="O465" s="7"/>
      <c r="P465" s="7"/>
      <c r="Q465" s="7"/>
      <c r="R465" s="7"/>
      <c r="S465" s="7"/>
      <c r="T465" s="7"/>
      <c r="U465" s="7"/>
      <c r="V465" s="7"/>
      <c r="W465" s="7"/>
      <c r="X465" s="7"/>
      <c r="Y465" s="7"/>
      <c r="Z465" s="7"/>
      <c r="AA465" s="7"/>
      <c r="AB465" s="7"/>
      <c r="AC465" s="7"/>
      <c r="AD465" s="7"/>
      <c r="AE465" s="132"/>
      <c r="AF465" s="132"/>
      <c r="AG465" s="113"/>
    </row>
    <row r="466" spans="2:33">
      <c r="B466" s="7"/>
      <c r="C466" s="7"/>
      <c r="D466" s="7"/>
      <c r="E466" s="7"/>
      <c r="F466" s="7"/>
      <c r="G466" s="7"/>
      <c r="H466" s="7"/>
      <c r="I466" s="7"/>
      <c r="J466" s="7"/>
      <c r="K466" s="7"/>
      <c r="L466" s="7"/>
      <c r="M466" s="7"/>
      <c r="N466" s="7"/>
      <c r="O466" s="7"/>
      <c r="P466" s="7"/>
      <c r="Q466" s="7"/>
      <c r="R466" s="7"/>
      <c r="S466" s="7"/>
      <c r="T466" s="7"/>
      <c r="U466" s="7"/>
      <c r="V466" s="7"/>
      <c r="W466" s="7"/>
      <c r="X466" s="7"/>
      <c r="Y466" s="7"/>
      <c r="Z466" s="7"/>
      <c r="AA466" s="7"/>
      <c r="AB466" s="7"/>
      <c r="AC466" s="7"/>
      <c r="AD466" s="7"/>
      <c r="AE466" s="132"/>
      <c r="AF466" s="132"/>
      <c r="AG466" s="113"/>
    </row>
    <row r="467" spans="2:33">
      <c r="B467" s="7"/>
      <c r="C467" s="7"/>
      <c r="D467" s="7"/>
      <c r="E467" s="7"/>
      <c r="F467" s="7"/>
      <c r="G467" s="7"/>
      <c r="H467" s="7"/>
      <c r="I467" s="7"/>
      <c r="J467" s="7"/>
      <c r="K467" s="7"/>
      <c r="L467" s="7"/>
      <c r="M467" s="7"/>
      <c r="N467" s="7"/>
      <c r="O467" s="7"/>
      <c r="P467" s="7"/>
      <c r="Q467" s="7"/>
      <c r="R467" s="7"/>
      <c r="S467" s="7"/>
      <c r="T467" s="7"/>
      <c r="U467" s="7"/>
      <c r="V467" s="7"/>
      <c r="W467" s="7"/>
      <c r="X467" s="7"/>
      <c r="Y467" s="7"/>
      <c r="Z467" s="7"/>
      <c r="AA467" s="7"/>
      <c r="AB467" s="7"/>
      <c r="AC467" s="7"/>
      <c r="AD467" s="7"/>
      <c r="AE467" s="132"/>
      <c r="AF467" s="132"/>
      <c r="AG467" s="113"/>
    </row>
    <row r="468" spans="2:33">
      <c r="B468" s="7"/>
      <c r="C468" s="7"/>
      <c r="D468" s="7"/>
      <c r="E468" s="7"/>
      <c r="F468" s="7"/>
      <c r="G468" s="7"/>
      <c r="H468" s="7"/>
      <c r="I468" s="7"/>
      <c r="J468" s="7"/>
      <c r="K468" s="7"/>
      <c r="L468" s="7"/>
      <c r="M468" s="7"/>
      <c r="N468" s="7"/>
      <c r="O468" s="7"/>
      <c r="P468" s="7"/>
      <c r="Q468" s="7"/>
      <c r="R468" s="7"/>
      <c r="S468" s="7"/>
      <c r="T468" s="7"/>
      <c r="U468" s="7"/>
      <c r="V468" s="7"/>
      <c r="W468" s="7"/>
      <c r="X468" s="7"/>
      <c r="Y468" s="7"/>
      <c r="Z468" s="7"/>
      <c r="AA468" s="7"/>
      <c r="AB468" s="7"/>
      <c r="AC468" s="7"/>
      <c r="AD468" s="7"/>
      <c r="AE468" s="132"/>
      <c r="AF468" s="132"/>
      <c r="AG468" s="113"/>
    </row>
    <row r="469" spans="2:33">
      <c r="B469" s="7"/>
      <c r="C469" s="7"/>
      <c r="D469" s="7"/>
      <c r="E469" s="7"/>
      <c r="F469" s="7"/>
      <c r="G469" s="7"/>
      <c r="H469" s="7"/>
      <c r="I469" s="7"/>
      <c r="J469" s="7"/>
      <c r="K469" s="7"/>
      <c r="L469" s="7"/>
      <c r="M469" s="7"/>
      <c r="N469" s="7"/>
      <c r="O469" s="7"/>
      <c r="P469" s="7"/>
      <c r="Q469" s="7"/>
      <c r="R469" s="7"/>
      <c r="S469" s="7"/>
      <c r="T469" s="7"/>
      <c r="U469" s="7"/>
      <c r="V469" s="7"/>
      <c r="W469" s="7"/>
      <c r="X469" s="7"/>
      <c r="Y469" s="7"/>
      <c r="Z469" s="7"/>
      <c r="AA469" s="7"/>
      <c r="AB469" s="7"/>
      <c r="AC469" s="7"/>
      <c r="AD469" s="7"/>
      <c r="AE469" s="132"/>
      <c r="AF469" s="132"/>
      <c r="AG469" s="113"/>
    </row>
    <row r="470" spans="2:33">
      <c r="B470" s="7"/>
      <c r="C470" s="7"/>
      <c r="D470" s="7"/>
      <c r="E470" s="7"/>
      <c r="F470" s="7"/>
      <c r="G470" s="7"/>
      <c r="H470" s="7"/>
      <c r="I470" s="7"/>
      <c r="J470" s="7"/>
      <c r="K470" s="7"/>
      <c r="L470" s="7"/>
      <c r="M470" s="7"/>
      <c r="N470" s="7"/>
      <c r="O470" s="7"/>
      <c r="P470" s="7"/>
      <c r="Q470" s="7"/>
      <c r="R470" s="7"/>
      <c r="S470" s="7"/>
      <c r="T470" s="7"/>
      <c r="U470" s="7"/>
      <c r="V470" s="7"/>
      <c r="W470" s="7"/>
      <c r="X470" s="7"/>
      <c r="Y470" s="7"/>
      <c r="Z470" s="7"/>
      <c r="AA470" s="7"/>
      <c r="AB470" s="7"/>
      <c r="AC470" s="7"/>
      <c r="AD470" s="7"/>
      <c r="AE470" s="132"/>
      <c r="AF470" s="132"/>
      <c r="AG470" s="113"/>
    </row>
    <row r="471" spans="2:33">
      <c r="B471" s="7"/>
      <c r="C471" s="7"/>
      <c r="D471" s="7"/>
      <c r="E471" s="7"/>
      <c r="F471" s="7"/>
      <c r="G471" s="7"/>
      <c r="H471" s="7"/>
      <c r="I471" s="7"/>
      <c r="J471" s="7"/>
      <c r="K471" s="7"/>
      <c r="L471" s="7"/>
      <c r="M471" s="7"/>
      <c r="N471" s="7"/>
      <c r="O471" s="7"/>
      <c r="P471" s="7"/>
      <c r="Q471" s="7"/>
      <c r="R471" s="7"/>
      <c r="S471" s="7"/>
      <c r="T471" s="7"/>
      <c r="U471" s="7"/>
      <c r="V471" s="7"/>
      <c r="W471" s="7"/>
      <c r="X471" s="7"/>
      <c r="Y471" s="7"/>
      <c r="Z471" s="7"/>
      <c r="AA471" s="7"/>
      <c r="AB471" s="7"/>
      <c r="AC471" s="7"/>
      <c r="AD471" s="7"/>
      <c r="AE471" s="132"/>
      <c r="AF471" s="132"/>
      <c r="AG471" s="113"/>
    </row>
    <row r="472" spans="2:33">
      <c r="B472" s="7"/>
      <c r="C472" s="7"/>
      <c r="D472" s="7"/>
      <c r="E472" s="7"/>
      <c r="F472" s="7"/>
      <c r="G472" s="7"/>
      <c r="H472" s="7"/>
      <c r="I472" s="7"/>
      <c r="J472" s="7"/>
      <c r="K472" s="7"/>
      <c r="L472" s="7"/>
      <c r="M472" s="7"/>
      <c r="N472" s="7"/>
      <c r="O472" s="7"/>
      <c r="P472" s="7"/>
      <c r="Q472" s="7"/>
      <c r="R472" s="7"/>
      <c r="S472" s="7"/>
      <c r="T472" s="7"/>
      <c r="U472" s="7"/>
      <c r="V472" s="7"/>
      <c r="W472" s="7"/>
      <c r="X472" s="7"/>
      <c r="Y472" s="7"/>
      <c r="Z472" s="7"/>
      <c r="AA472" s="7"/>
      <c r="AB472" s="7"/>
      <c r="AC472" s="7"/>
      <c r="AD472" s="7"/>
      <c r="AE472" s="132"/>
      <c r="AF472" s="132"/>
      <c r="AG472" s="113"/>
    </row>
    <row r="473" spans="2:33">
      <c r="B473" s="7"/>
      <c r="C473" s="7"/>
      <c r="D473" s="7"/>
      <c r="E473" s="7"/>
      <c r="F473" s="7"/>
      <c r="G473" s="7"/>
      <c r="H473" s="7"/>
      <c r="I473" s="7"/>
      <c r="J473" s="7"/>
      <c r="K473" s="7"/>
      <c r="L473" s="7"/>
      <c r="M473" s="7"/>
      <c r="N473" s="7"/>
      <c r="O473" s="7"/>
      <c r="P473" s="7"/>
      <c r="Q473" s="7"/>
      <c r="R473" s="7"/>
      <c r="S473" s="7"/>
      <c r="T473" s="7"/>
      <c r="U473" s="7"/>
      <c r="V473" s="7"/>
      <c r="W473" s="7"/>
      <c r="X473" s="7"/>
      <c r="Y473" s="7"/>
      <c r="Z473" s="7"/>
      <c r="AA473" s="7"/>
      <c r="AB473" s="7"/>
      <c r="AC473" s="7"/>
      <c r="AD473" s="7"/>
      <c r="AE473" s="132"/>
      <c r="AF473" s="132"/>
      <c r="AG473" s="113"/>
    </row>
    <row r="474" spans="2:33">
      <c r="B474" s="7"/>
      <c r="C474" s="7"/>
      <c r="D474" s="7"/>
      <c r="E474" s="7"/>
      <c r="F474" s="7"/>
      <c r="G474" s="7"/>
      <c r="H474" s="7"/>
      <c r="I474" s="7"/>
      <c r="J474" s="7"/>
      <c r="K474" s="7"/>
      <c r="L474" s="7"/>
      <c r="M474" s="7"/>
      <c r="N474" s="7"/>
      <c r="O474" s="7"/>
      <c r="P474" s="7"/>
      <c r="Q474" s="7"/>
      <c r="R474" s="7"/>
      <c r="S474" s="7"/>
      <c r="T474" s="7"/>
      <c r="U474" s="7"/>
      <c r="V474" s="7"/>
      <c r="W474" s="7"/>
      <c r="X474" s="7"/>
      <c r="Y474" s="7"/>
      <c r="Z474" s="7"/>
      <c r="AA474" s="7"/>
      <c r="AB474" s="7"/>
      <c r="AC474" s="7"/>
      <c r="AD474" s="7"/>
      <c r="AE474" s="132"/>
      <c r="AF474" s="132"/>
      <c r="AG474" s="113"/>
    </row>
    <row r="475" spans="2:33">
      <c r="B475" s="7"/>
      <c r="C475" s="7"/>
      <c r="D475" s="7"/>
      <c r="E475" s="7"/>
      <c r="F475" s="7"/>
      <c r="G475" s="7"/>
      <c r="H475" s="7"/>
      <c r="I475" s="7"/>
      <c r="J475" s="7"/>
      <c r="K475" s="7"/>
      <c r="L475" s="7"/>
      <c r="M475" s="7"/>
      <c r="N475" s="7"/>
      <c r="O475" s="7"/>
      <c r="P475" s="7"/>
      <c r="Q475" s="7"/>
      <c r="R475" s="7"/>
      <c r="S475" s="7"/>
      <c r="T475" s="7"/>
      <c r="U475" s="7"/>
      <c r="V475" s="7"/>
      <c r="W475" s="7"/>
      <c r="X475" s="7"/>
      <c r="Y475" s="7"/>
      <c r="Z475" s="7"/>
      <c r="AA475" s="7"/>
      <c r="AB475" s="7"/>
      <c r="AC475" s="7"/>
      <c r="AD475" s="7"/>
      <c r="AE475" s="132"/>
      <c r="AF475" s="132"/>
      <c r="AG475" s="113"/>
    </row>
    <row r="476" spans="2:33">
      <c r="B476" s="7"/>
      <c r="C476" s="7"/>
      <c r="D476" s="7"/>
      <c r="E476" s="7"/>
      <c r="F476" s="7"/>
      <c r="G476" s="7"/>
      <c r="H476" s="7"/>
      <c r="I476" s="7"/>
      <c r="J476" s="7"/>
      <c r="K476" s="7"/>
      <c r="L476" s="7"/>
      <c r="M476" s="7"/>
      <c r="N476" s="7"/>
      <c r="O476" s="7"/>
      <c r="P476" s="7"/>
      <c r="Q476" s="7"/>
      <c r="R476" s="7"/>
      <c r="S476" s="7"/>
      <c r="T476" s="7"/>
      <c r="U476" s="7"/>
      <c r="V476" s="7"/>
      <c r="W476" s="7"/>
      <c r="X476" s="7"/>
      <c r="Y476" s="7"/>
      <c r="Z476" s="7"/>
      <c r="AA476" s="7"/>
      <c r="AB476" s="7"/>
      <c r="AC476" s="7"/>
      <c r="AD476" s="7"/>
      <c r="AE476" s="132"/>
      <c r="AF476" s="132"/>
      <c r="AG476" s="113"/>
    </row>
    <row r="477" spans="2:33">
      <c r="B477" s="7"/>
      <c r="C477" s="7"/>
      <c r="D477" s="7"/>
      <c r="E477" s="7"/>
      <c r="F477" s="7"/>
      <c r="G477" s="7"/>
      <c r="H477" s="7"/>
      <c r="I477" s="7"/>
      <c r="J477" s="7"/>
      <c r="K477" s="7"/>
      <c r="L477" s="7"/>
      <c r="M477" s="7"/>
      <c r="N477" s="7"/>
      <c r="O477" s="7"/>
      <c r="P477" s="7"/>
      <c r="Q477" s="7"/>
      <c r="R477" s="7"/>
      <c r="S477" s="7"/>
      <c r="T477" s="7"/>
      <c r="U477" s="7"/>
      <c r="V477" s="7"/>
      <c r="W477" s="7"/>
      <c r="X477" s="7"/>
      <c r="Y477" s="7"/>
      <c r="Z477" s="7"/>
      <c r="AA477" s="7"/>
      <c r="AB477" s="7"/>
      <c r="AC477" s="7"/>
      <c r="AD477" s="7"/>
      <c r="AE477" s="132"/>
      <c r="AF477" s="132"/>
      <c r="AG477" s="113"/>
    </row>
    <row r="478" spans="2:33">
      <c r="B478" s="7"/>
      <c r="C478" s="7"/>
      <c r="D478" s="7"/>
      <c r="E478" s="7"/>
      <c r="F478" s="7"/>
      <c r="G478" s="7"/>
      <c r="H478" s="7"/>
      <c r="I478" s="7"/>
      <c r="J478" s="7"/>
      <c r="K478" s="7"/>
      <c r="L478" s="7"/>
      <c r="M478" s="7"/>
      <c r="N478" s="7"/>
      <c r="O478" s="7"/>
      <c r="P478" s="7"/>
      <c r="Q478" s="7"/>
      <c r="R478" s="7"/>
      <c r="S478" s="7"/>
      <c r="T478" s="7"/>
      <c r="U478" s="7"/>
      <c r="V478" s="7"/>
      <c r="W478" s="7"/>
      <c r="X478" s="7"/>
      <c r="Y478" s="7"/>
      <c r="Z478" s="7"/>
      <c r="AA478" s="7"/>
      <c r="AB478" s="7"/>
      <c r="AC478" s="7"/>
      <c r="AD478" s="7"/>
      <c r="AE478" s="132"/>
      <c r="AF478" s="132"/>
      <c r="AG478" s="113"/>
    </row>
    <row r="479" spans="2:33">
      <c r="B479" s="7"/>
      <c r="C479" s="7"/>
      <c r="D479" s="7"/>
      <c r="E479" s="7"/>
      <c r="F479" s="7"/>
      <c r="G479" s="7"/>
      <c r="H479" s="7"/>
      <c r="I479" s="7"/>
      <c r="J479" s="7"/>
      <c r="K479" s="7"/>
      <c r="L479" s="7"/>
      <c r="M479" s="7"/>
      <c r="N479" s="7"/>
      <c r="O479" s="7"/>
      <c r="P479" s="7"/>
      <c r="Q479" s="7"/>
      <c r="R479" s="7"/>
      <c r="S479" s="7"/>
      <c r="T479" s="7"/>
      <c r="U479" s="7"/>
      <c r="V479" s="7"/>
      <c r="W479" s="7"/>
      <c r="X479" s="7"/>
      <c r="Y479" s="7"/>
      <c r="Z479" s="7"/>
      <c r="AA479" s="7"/>
      <c r="AB479" s="7"/>
      <c r="AC479" s="7"/>
      <c r="AD479" s="7"/>
      <c r="AE479" s="132"/>
      <c r="AF479" s="132"/>
      <c r="AG479" s="113"/>
    </row>
    <row r="480" spans="2:33">
      <c r="B480" s="7"/>
      <c r="C480" s="7"/>
      <c r="D480" s="7"/>
      <c r="E480" s="7"/>
      <c r="F480" s="7"/>
      <c r="G480" s="7"/>
      <c r="H480" s="7"/>
      <c r="I480" s="7"/>
      <c r="J480" s="7"/>
      <c r="K480" s="7"/>
      <c r="L480" s="7"/>
      <c r="M480" s="7"/>
      <c r="N480" s="7"/>
      <c r="O480" s="7"/>
      <c r="P480" s="7"/>
      <c r="Q480" s="7"/>
      <c r="R480" s="7"/>
      <c r="S480" s="7"/>
      <c r="T480" s="7"/>
      <c r="U480" s="7"/>
      <c r="V480" s="7"/>
      <c r="W480" s="7"/>
      <c r="X480" s="7"/>
      <c r="Y480" s="7"/>
      <c r="Z480" s="7"/>
      <c r="AA480" s="7"/>
      <c r="AB480" s="7"/>
      <c r="AC480" s="7"/>
      <c r="AD480" s="7"/>
      <c r="AE480" s="132"/>
      <c r="AF480" s="132"/>
      <c r="AG480" s="113"/>
    </row>
    <row r="481" spans="2:33">
      <c r="B481" s="7"/>
      <c r="C481" s="7"/>
      <c r="D481" s="7"/>
      <c r="E481" s="7"/>
      <c r="F481" s="7"/>
      <c r="G481" s="7"/>
      <c r="H481" s="7"/>
      <c r="I481" s="7"/>
      <c r="J481" s="7"/>
      <c r="K481" s="7"/>
      <c r="L481" s="7"/>
      <c r="M481" s="7"/>
      <c r="N481" s="7"/>
      <c r="O481" s="7"/>
      <c r="P481" s="7"/>
      <c r="Q481" s="7"/>
      <c r="R481" s="7"/>
      <c r="S481" s="7"/>
      <c r="T481" s="7"/>
      <c r="U481" s="7"/>
      <c r="V481" s="7"/>
      <c r="W481" s="7"/>
      <c r="X481" s="7"/>
      <c r="Y481" s="7"/>
      <c r="Z481" s="7"/>
      <c r="AA481" s="7"/>
      <c r="AB481" s="7"/>
      <c r="AC481" s="7"/>
      <c r="AD481" s="7"/>
      <c r="AE481" s="132"/>
      <c r="AF481" s="132"/>
      <c r="AG481" s="113"/>
    </row>
    <row r="482" spans="2:33">
      <c r="B482" s="7"/>
      <c r="C482" s="7"/>
      <c r="D482" s="7"/>
      <c r="E482" s="7"/>
      <c r="F482" s="7"/>
      <c r="G482" s="7"/>
      <c r="H482" s="7"/>
      <c r="I482" s="7"/>
      <c r="J482" s="7"/>
      <c r="K482" s="7"/>
      <c r="L482" s="7"/>
      <c r="M482" s="7"/>
      <c r="N482" s="7"/>
      <c r="O482" s="7"/>
      <c r="P482" s="7"/>
      <c r="Q482" s="7"/>
      <c r="R482" s="7"/>
      <c r="S482" s="7"/>
      <c r="T482" s="7"/>
      <c r="U482" s="7"/>
      <c r="V482" s="7"/>
      <c r="W482" s="7"/>
      <c r="X482" s="7"/>
      <c r="Y482" s="7"/>
      <c r="Z482" s="7"/>
      <c r="AA482" s="7"/>
      <c r="AB482" s="7"/>
      <c r="AC482" s="7"/>
      <c r="AD482" s="7"/>
      <c r="AE482" s="132"/>
      <c r="AF482" s="132"/>
      <c r="AG482" s="113"/>
    </row>
    <row r="483" spans="2:33">
      <c r="B483" s="7"/>
      <c r="C483" s="7"/>
      <c r="D483" s="7"/>
      <c r="E483" s="7"/>
      <c r="F483" s="7"/>
      <c r="G483" s="7"/>
      <c r="H483" s="7"/>
      <c r="I483" s="7"/>
      <c r="J483" s="7"/>
      <c r="K483" s="7"/>
      <c r="L483" s="7"/>
      <c r="M483" s="7"/>
      <c r="N483" s="7"/>
      <c r="O483" s="7"/>
      <c r="P483" s="7"/>
      <c r="Q483" s="7"/>
      <c r="R483" s="7"/>
      <c r="S483" s="7"/>
      <c r="T483" s="7"/>
      <c r="U483" s="7"/>
      <c r="V483" s="7"/>
      <c r="W483" s="7"/>
      <c r="X483" s="7"/>
      <c r="Y483" s="7"/>
      <c r="Z483" s="7"/>
      <c r="AA483" s="7"/>
      <c r="AB483" s="7"/>
      <c r="AC483" s="7"/>
      <c r="AD483" s="7"/>
      <c r="AE483" s="132"/>
      <c r="AF483" s="132"/>
      <c r="AG483" s="113"/>
    </row>
    <row r="484" spans="2:33">
      <c r="B484" s="7"/>
      <c r="C484" s="7"/>
      <c r="D484" s="7"/>
      <c r="E484" s="7"/>
      <c r="F484" s="7"/>
      <c r="G484" s="7"/>
      <c r="H484" s="7"/>
      <c r="I484" s="7"/>
      <c r="J484" s="7"/>
      <c r="K484" s="7"/>
      <c r="L484" s="7"/>
      <c r="M484" s="7"/>
      <c r="N484" s="7"/>
      <c r="O484" s="7"/>
      <c r="P484" s="7"/>
      <c r="Q484" s="7"/>
      <c r="R484" s="7"/>
      <c r="S484" s="7"/>
      <c r="T484" s="7"/>
      <c r="U484" s="7"/>
      <c r="V484" s="7"/>
      <c r="W484" s="7"/>
      <c r="X484" s="7"/>
      <c r="Y484" s="7"/>
      <c r="Z484" s="7"/>
      <c r="AA484" s="7"/>
      <c r="AB484" s="7"/>
      <c r="AC484" s="7"/>
      <c r="AD484" s="7"/>
      <c r="AE484" s="132"/>
      <c r="AF484" s="132"/>
      <c r="AG484" s="113"/>
    </row>
    <row r="485" spans="2:33">
      <c r="B485" s="7"/>
      <c r="C485" s="7"/>
      <c r="D485" s="7"/>
      <c r="E485" s="7"/>
      <c r="F485" s="7"/>
      <c r="G485" s="7"/>
      <c r="H485" s="7"/>
      <c r="I485" s="7"/>
      <c r="J485" s="7"/>
      <c r="K485" s="7"/>
      <c r="L485" s="7"/>
      <c r="M485" s="7"/>
      <c r="N485" s="7"/>
      <c r="O485" s="7"/>
      <c r="P485" s="7"/>
      <c r="Q485" s="7"/>
      <c r="R485" s="7"/>
      <c r="S485" s="7"/>
      <c r="T485" s="7"/>
      <c r="U485" s="7"/>
      <c r="V485" s="7"/>
      <c r="W485" s="7"/>
      <c r="X485" s="7"/>
      <c r="Y485" s="7"/>
      <c r="Z485" s="7"/>
      <c r="AA485" s="7"/>
      <c r="AB485" s="7"/>
      <c r="AC485" s="7"/>
      <c r="AD485" s="7"/>
      <c r="AE485" s="132"/>
      <c r="AF485" s="132"/>
      <c r="AG485" s="113"/>
    </row>
    <row r="486" spans="2:33">
      <c r="B486" s="7"/>
      <c r="C486" s="7"/>
      <c r="D486" s="7"/>
      <c r="E486" s="7"/>
      <c r="F486" s="7"/>
      <c r="G486" s="7"/>
      <c r="H486" s="7"/>
      <c r="I486" s="7"/>
      <c r="J486" s="7"/>
      <c r="K486" s="7"/>
      <c r="L486" s="7"/>
      <c r="M486" s="7"/>
      <c r="N486" s="7"/>
      <c r="O486" s="7"/>
      <c r="P486" s="7"/>
      <c r="Q486" s="7"/>
      <c r="R486" s="7"/>
      <c r="S486" s="7"/>
      <c r="T486" s="7"/>
      <c r="U486" s="7"/>
      <c r="V486" s="7"/>
      <c r="W486" s="7"/>
      <c r="X486" s="7"/>
      <c r="Y486" s="7"/>
      <c r="Z486" s="7"/>
      <c r="AA486" s="7"/>
      <c r="AB486" s="7"/>
      <c r="AC486" s="7"/>
      <c r="AD486" s="7"/>
      <c r="AE486" s="132"/>
      <c r="AF486" s="132"/>
      <c r="AG486" s="113"/>
    </row>
    <row r="487" spans="2:33">
      <c r="B487" s="7"/>
      <c r="C487" s="7"/>
      <c r="D487" s="7"/>
      <c r="E487" s="7"/>
      <c r="F487" s="7"/>
      <c r="G487" s="7"/>
      <c r="H487" s="7"/>
      <c r="I487" s="7"/>
      <c r="J487" s="7"/>
      <c r="K487" s="7"/>
      <c r="L487" s="7"/>
      <c r="M487" s="7"/>
      <c r="N487" s="7"/>
      <c r="O487" s="7"/>
      <c r="P487" s="7"/>
      <c r="Q487" s="7"/>
      <c r="R487" s="7"/>
      <c r="S487" s="7"/>
      <c r="T487" s="7"/>
      <c r="U487" s="7"/>
      <c r="V487" s="7"/>
      <c r="W487" s="7"/>
      <c r="X487" s="7"/>
      <c r="Y487" s="7"/>
      <c r="Z487" s="7"/>
      <c r="AA487" s="7"/>
      <c r="AB487" s="7"/>
      <c r="AC487" s="7"/>
      <c r="AD487" s="7"/>
      <c r="AE487" s="132"/>
      <c r="AF487" s="132"/>
      <c r="AG487" s="113"/>
    </row>
    <row r="488" spans="2:33">
      <c r="B488" s="7"/>
      <c r="C488" s="7"/>
      <c r="D488" s="7"/>
      <c r="E488" s="7"/>
      <c r="F488" s="7"/>
      <c r="G488" s="7"/>
      <c r="H488" s="7"/>
      <c r="I488" s="7"/>
      <c r="J488" s="7"/>
      <c r="K488" s="7"/>
      <c r="L488" s="7"/>
      <c r="M488" s="7"/>
      <c r="N488" s="7"/>
      <c r="O488" s="7"/>
      <c r="P488" s="7"/>
      <c r="Q488" s="7"/>
      <c r="R488" s="7"/>
      <c r="S488" s="7"/>
      <c r="T488" s="7"/>
      <c r="U488" s="7"/>
      <c r="V488" s="7"/>
      <c r="W488" s="7"/>
      <c r="X488" s="7"/>
      <c r="Y488" s="7"/>
      <c r="Z488" s="7"/>
      <c r="AA488" s="7"/>
      <c r="AB488" s="7"/>
      <c r="AC488" s="7"/>
      <c r="AD488" s="7"/>
      <c r="AE488" s="132"/>
      <c r="AF488" s="132"/>
      <c r="AG488" s="113"/>
    </row>
    <row r="489" spans="2:33">
      <c r="B489" s="7"/>
      <c r="C489" s="7"/>
      <c r="D489" s="7"/>
      <c r="E489" s="7"/>
      <c r="F489" s="7"/>
      <c r="G489" s="7"/>
      <c r="H489" s="7"/>
      <c r="I489" s="7"/>
      <c r="J489" s="7"/>
      <c r="K489" s="7"/>
      <c r="L489" s="7"/>
      <c r="M489" s="7"/>
      <c r="N489" s="7"/>
      <c r="O489" s="7"/>
      <c r="P489" s="7"/>
      <c r="Q489" s="7"/>
      <c r="R489" s="7"/>
      <c r="S489" s="7"/>
      <c r="T489" s="7"/>
      <c r="U489" s="7"/>
      <c r="V489" s="7"/>
      <c r="W489" s="7"/>
      <c r="X489" s="7"/>
      <c r="Y489" s="7"/>
      <c r="Z489" s="7"/>
      <c r="AA489" s="7"/>
      <c r="AB489" s="7"/>
      <c r="AC489" s="7"/>
      <c r="AD489" s="7"/>
      <c r="AE489" s="132"/>
      <c r="AF489" s="132"/>
      <c r="AG489" s="113"/>
    </row>
    <row r="490" spans="2:33">
      <c r="B490" s="7"/>
      <c r="C490" s="7"/>
      <c r="D490" s="7"/>
      <c r="E490" s="7"/>
      <c r="F490" s="7"/>
      <c r="G490" s="7"/>
      <c r="H490" s="7"/>
      <c r="I490" s="7"/>
      <c r="J490" s="7"/>
      <c r="K490" s="7"/>
      <c r="L490" s="7"/>
      <c r="M490" s="7"/>
      <c r="N490" s="7"/>
      <c r="O490" s="7"/>
      <c r="P490" s="7"/>
      <c r="Q490" s="7"/>
      <c r="R490" s="7"/>
      <c r="S490" s="7"/>
      <c r="T490" s="7"/>
      <c r="U490" s="7"/>
      <c r="V490" s="7"/>
      <c r="W490" s="7"/>
      <c r="X490" s="7"/>
      <c r="Y490" s="7"/>
      <c r="Z490" s="7"/>
      <c r="AA490" s="7"/>
      <c r="AB490" s="7"/>
      <c r="AC490" s="7"/>
      <c r="AD490" s="7"/>
      <c r="AE490" s="132"/>
      <c r="AF490" s="132"/>
      <c r="AG490" s="113"/>
    </row>
    <row r="491" spans="2:33">
      <c r="B491" s="7"/>
      <c r="C491" s="7"/>
      <c r="D491" s="7"/>
      <c r="E491" s="7"/>
      <c r="F491" s="7"/>
      <c r="G491" s="7"/>
      <c r="H491" s="7"/>
      <c r="I491" s="7"/>
      <c r="J491" s="7"/>
      <c r="K491" s="7"/>
      <c r="L491" s="7"/>
      <c r="M491" s="7"/>
      <c r="N491" s="7"/>
      <c r="O491" s="7"/>
      <c r="P491" s="7"/>
      <c r="Q491" s="7"/>
      <c r="R491" s="7"/>
      <c r="S491" s="7"/>
      <c r="T491" s="7"/>
      <c r="U491" s="7"/>
      <c r="V491" s="7"/>
      <c r="W491" s="7"/>
      <c r="X491" s="7"/>
      <c r="Y491" s="7"/>
      <c r="Z491" s="7"/>
      <c r="AA491" s="7"/>
      <c r="AB491" s="7"/>
      <c r="AC491" s="7"/>
      <c r="AD491" s="7"/>
      <c r="AE491" s="132"/>
      <c r="AF491" s="132"/>
      <c r="AG491" s="113"/>
    </row>
    <row r="492" spans="2:33">
      <c r="B492" s="7"/>
      <c r="C492" s="7"/>
      <c r="D492" s="7"/>
      <c r="E492" s="7"/>
      <c r="F492" s="7"/>
      <c r="G492" s="7"/>
      <c r="H492" s="7"/>
      <c r="I492" s="7"/>
      <c r="J492" s="7"/>
      <c r="K492" s="7"/>
      <c r="L492" s="7"/>
      <c r="M492" s="7"/>
      <c r="N492" s="7"/>
      <c r="O492" s="7"/>
      <c r="P492" s="7"/>
      <c r="Q492" s="7"/>
      <c r="R492" s="7"/>
      <c r="S492" s="7"/>
      <c r="T492" s="7"/>
      <c r="U492" s="7"/>
      <c r="V492" s="7"/>
      <c r="W492" s="7"/>
      <c r="X492" s="7"/>
      <c r="Y492" s="7"/>
      <c r="Z492" s="7"/>
      <c r="AA492" s="7"/>
      <c r="AB492" s="7"/>
      <c r="AC492" s="7"/>
      <c r="AD492" s="7"/>
      <c r="AE492" s="132"/>
      <c r="AF492" s="132"/>
      <c r="AG492" s="113"/>
    </row>
    <row r="493" spans="2:33">
      <c r="B493" s="7"/>
      <c r="C493" s="7"/>
      <c r="D493" s="7"/>
      <c r="E493" s="7"/>
      <c r="F493" s="7"/>
      <c r="G493" s="7"/>
      <c r="H493" s="7"/>
      <c r="I493" s="7"/>
      <c r="J493" s="7"/>
      <c r="K493" s="7"/>
      <c r="L493" s="7"/>
      <c r="M493" s="7"/>
      <c r="N493" s="7"/>
      <c r="O493" s="7"/>
      <c r="P493" s="7"/>
      <c r="Q493" s="7"/>
      <c r="R493" s="7"/>
      <c r="S493" s="7"/>
      <c r="T493" s="7"/>
      <c r="U493" s="7"/>
      <c r="V493" s="7"/>
      <c r="W493" s="7"/>
      <c r="X493" s="7"/>
      <c r="Y493" s="7"/>
      <c r="Z493" s="7"/>
      <c r="AA493" s="7"/>
      <c r="AB493" s="7"/>
      <c r="AC493" s="7"/>
      <c r="AD493" s="7"/>
      <c r="AE493" s="132"/>
      <c r="AF493" s="132"/>
      <c r="AG493" s="113"/>
    </row>
    <row r="494" spans="2:33">
      <c r="B494" s="7"/>
      <c r="C494" s="7"/>
      <c r="D494" s="7"/>
      <c r="E494" s="7"/>
      <c r="F494" s="7"/>
      <c r="G494" s="7"/>
      <c r="H494" s="7"/>
      <c r="I494" s="7"/>
      <c r="J494" s="7"/>
      <c r="K494" s="7"/>
      <c r="L494" s="7"/>
      <c r="M494" s="7"/>
      <c r="N494" s="7"/>
      <c r="O494" s="7"/>
      <c r="P494" s="7"/>
      <c r="Q494" s="7"/>
      <c r="R494" s="7"/>
      <c r="S494" s="7"/>
      <c r="T494" s="7"/>
      <c r="U494" s="7"/>
      <c r="V494" s="7"/>
      <c r="W494" s="7"/>
      <c r="X494" s="7"/>
      <c r="Y494" s="7"/>
      <c r="Z494" s="7"/>
      <c r="AA494" s="7"/>
      <c r="AB494" s="7"/>
      <c r="AC494" s="7"/>
      <c r="AD494" s="7"/>
      <c r="AE494" s="132"/>
      <c r="AF494" s="132"/>
      <c r="AG494" s="113"/>
    </row>
    <row r="495" spans="2:33">
      <c r="B495" s="7"/>
      <c r="C495" s="7"/>
      <c r="D495" s="7"/>
      <c r="E495" s="7"/>
      <c r="F495" s="7"/>
      <c r="G495" s="7"/>
      <c r="H495" s="7"/>
      <c r="I495" s="7"/>
      <c r="J495" s="7"/>
      <c r="K495" s="7"/>
      <c r="L495" s="7"/>
      <c r="M495" s="7"/>
      <c r="N495" s="7"/>
      <c r="O495" s="7"/>
      <c r="P495" s="7"/>
      <c r="Q495" s="7"/>
      <c r="R495" s="7"/>
      <c r="S495" s="7"/>
      <c r="T495" s="7"/>
      <c r="U495" s="7"/>
      <c r="V495" s="7"/>
      <c r="W495" s="7"/>
      <c r="X495" s="7"/>
      <c r="Y495" s="7"/>
      <c r="Z495" s="7"/>
      <c r="AA495" s="7"/>
      <c r="AB495" s="7"/>
      <c r="AC495" s="7"/>
      <c r="AD495" s="7"/>
      <c r="AE495" s="132"/>
      <c r="AF495" s="132"/>
      <c r="AG495" s="113"/>
    </row>
    <row r="496" spans="2:33">
      <c r="B496" s="7"/>
      <c r="C496" s="7"/>
      <c r="D496" s="7"/>
      <c r="E496" s="7"/>
      <c r="F496" s="7"/>
      <c r="G496" s="7"/>
      <c r="H496" s="7"/>
      <c r="I496" s="7"/>
      <c r="J496" s="7"/>
      <c r="K496" s="7"/>
      <c r="L496" s="7"/>
      <c r="M496" s="7"/>
      <c r="N496" s="7"/>
      <c r="O496" s="7"/>
      <c r="P496" s="7"/>
      <c r="Q496" s="7"/>
      <c r="R496" s="7"/>
      <c r="S496" s="7"/>
      <c r="T496" s="7"/>
      <c r="U496" s="7"/>
      <c r="V496" s="7"/>
      <c r="W496" s="7"/>
      <c r="X496" s="7"/>
      <c r="Y496" s="7"/>
      <c r="Z496" s="7"/>
      <c r="AA496" s="7"/>
      <c r="AB496" s="7"/>
      <c r="AC496" s="7"/>
      <c r="AD496" s="7"/>
      <c r="AE496" s="132"/>
      <c r="AF496" s="132"/>
      <c r="AG496" s="113"/>
    </row>
    <row r="497" spans="2:33">
      <c r="B497" s="7"/>
      <c r="C497" s="7"/>
      <c r="D497" s="7"/>
      <c r="E497" s="7"/>
      <c r="F497" s="7"/>
      <c r="G497" s="7"/>
      <c r="H497" s="7"/>
      <c r="I497" s="7"/>
      <c r="J497" s="7"/>
      <c r="K497" s="7"/>
      <c r="L497" s="7"/>
      <c r="M497" s="7"/>
      <c r="N497" s="7"/>
      <c r="O497" s="7"/>
      <c r="P497" s="7"/>
      <c r="Q497" s="7"/>
      <c r="R497" s="7"/>
      <c r="S497" s="7"/>
      <c r="T497" s="7"/>
      <c r="U497" s="7"/>
      <c r="V497" s="7"/>
      <c r="W497" s="7"/>
      <c r="X497" s="7"/>
      <c r="Y497" s="7"/>
      <c r="Z497" s="7"/>
      <c r="AA497" s="7"/>
      <c r="AB497" s="7"/>
      <c r="AC497" s="7"/>
      <c r="AD497" s="7"/>
      <c r="AE497" s="132"/>
      <c r="AF497" s="132"/>
      <c r="AG497" s="113"/>
    </row>
    <row r="498" spans="2:33">
      <c r="B498" s="7"/>
      <c r="C498" s="7"/>
      <c r="D498" s="7"/>
      <c r="E498" s="7"/>
      <c r="F498" s="7"/>
      <c r="G498" s="7"/>
      <c r="H498" s="7"/>
      <c r="I498" s="7"/>
      <c r="J498" s="7"/>
      <c r="K498" s="7"/>
      <c r="L498" s="7"/>
      <c r="M498" s="7"/>
      <c r="N498" s="7"/>
      <c r="O498" s="7"/>
      <c r="P498" s="7"/>
      <c r="Q498" s="7"/>
      <c r="R498" s="7"/>
      <c r="S498" s="7"/>
      <c r="T498" s="7"/>
      <c r="U498" s="7"/>
      <c r="V498" s="7"/>
      <c r="W498" s="7"/>
      <c r="X498" s="7"/>
      <c r="Y498" s="7"/>
      <c r="Z498" s="7"/>
      <c r="AA498" s="7"/>
      <c r="AB498" s="7"/>
      <c r="AC498" s="7"/>
      <c r="AD498" s="7"/>
      <c r="AE498" s="132"/>
      <c r="AF498" s="132"/>
      <c r="AG498" s="113"/>
    </row>
    <row r="499" spans="2:33">
      <c r="B499" s="7"/>
      <c r="C499" s="7"/>
      <c r="D499" s="7"/>
      <c r="E499" s="7"/>
      <c r="F499" s="7"/>
      <c r="G499" s="7"/>
      <c r="H499" s="7"/>
      <c r="I499" s="7"/>
      <c r="J499" s="7"/>
      <c r="K499" s="7"/>
      <c r="L499" s="7"/>
      <c r="M499" s="7"/>
      <c r="N499" s="7"/>
      <c r="O499" s="7"/>
      <c r="P499" s="7"/>
      <c r="Q499" s="7"/>
      <c r="R499" s="7"/>
      <c r="S499" s="7"/>
      <c r="T499" s="7"/>
      <c r="U499" s="7"/>
      <c r="V499" s="7"/>
      <c r="W499" s="7"/>
      <c r="X499" s="7"/>
      <c r="Y499" s="7"/>
      <c r="Z499" s="7"/>
      <c r="AA499" s="7"/>
      <c r="AB499" s="7"/>
      <c r="AC499" s="7"/>
      <c r="AD499" s="7"/>
      <c r="AE499" s="132"/>
      <c r="AF499" s="132"/>
      <c r="AG499" s="113"/>
    </row>
    <row r="500" spans="2:33">
      <c r="B500" s="7"/>
      <c r="C500" s="7"/>
      <c r="D500" s="7"/>
      <c r="E500" s="7"/>
      <c r="F500" s="7"/>
      <c r="G500" s="7"/>
      <c r="H500" s="7"/>
      <c r="I500" s="7"/>
      <c r="J500" s="7"/>
      <c r="K500" s="7"/>
      <c r="L500" s="7"/>
      <c r="M500" s="7"/>
      <c r="N500" s="7"/>
      <c r="O500" s="7"/>
      <c r="P500" s="7"/>
      <c r="Q500" s="7"/>
      <c r="R500" s="7"/>
      <c r="S500" s="7"/>
      <c r="T500" s="7"/>
      <c r="U500" s="7"/>
      <c r="V500" s="7"/>
      <c r="W500" s="7"/>
      <c r="X500" s="7"/>
      <c r="Y500" s="7"/>
      <c r="Z500" s="7"/>
      <c r="AA500" s="7"/>
      <c r="AB500" s="7"/>
      <c r="AC500" s="7"/>
      <c r="AD500" s="7"/>
      <c r="AE500" s="132"/>
      <c r="AF500" s="132"/>
      <c r="AG500" s="113"/>
    </row>
    <row r="501" spans="2:33">
      <c r="B501" s="7"/>
      <c r="C501" s="7"/>
      <c r="D501" s="7"/>
      <c r="E501" s="7"/>
      <c r="F501" s="7"/>
      <c r="G501" s="7"/>
      <c r="H501" s="7"/>
      <c r="I501" s="7"/>
      <c r="J501" s="7"/>
      <c r="K501" s="7"/>
      <c r="L501" s="7"/>
      <c r="M501" s="7"/>
      <c r="N501" s="7"/>
      <c r="O501" s="7"/>
      <c r="P501" s="7"/>
      <c r="Q501" s="7"/>
      <c r="R501" s="7"/>
      <c r="S501" s="7"/>
      <c r="T501" s="7"/>
      <c r="U501" s="7"/>
      <c r="V501" s="7"/>
      <c r="W501" s="7"/>
      <c r="X501" s="7"/>
      <c r="Y501" s="7"/>
      <c r="Z501" s="7"/>
      <c r="AA501" s="7"/>
      <c r="AB501" s="7"/>
      <c r="AC501" s="7"/>
      <c r="AD501" s="7"/>
      <c r="AE501" s="132"/>
      <c r="AF501" s="132"/>
      <c r="AG501" s="113"/>
    </row>
    <row r="502" spans="2:33">
      <c r="B502" s="7"/>
      <c r="C502" s="7"/>
      <c r="D502" s="7"/>
      <c r="E502" s="7"/>
      <c r="F502" s="7"/>
      <c r="G502" s="7"/>
      <c r="H502" s="7"/>
      <c r="I502" s="7"/>
      <c r="J502" s="7"/>
      <c r="K502" s="7"/>
      <c r="L502" s="7"/>
      <c r="M502" s="7"/>
      <c r="N502" s="7"/>
      <c r="O502" s="7"/>
      <c r="P502" s="7"/>
      <c r="Q502" s="7"/>
      <c r="R502" s="7"/>
      <c r="S502" s="7"/>
      <c r="T502" s="7"/>
      <c r="U502" s="7"/>
      <c r="V502" s="7"/>
      <c r="W502" s="7"/>
      <c r="X502" s="7"/>
      <c r="Y502" s="7"/>
      <c r="Z502" s="7"/>
      <c r="AA502" s="7"/>
      <c r="AB502" s="7"/>
      <c r="AC502" s="7"/>
      <c r="AD502" s="7"/>
      <c r="AE502" s="132"/>
      <c r="AF502" s="132"/>
      <c r="AG502" s="113"/>
    </row>
    <row r="503" spans="2:33">
      <c r="B503" s="7"/>
      <c r="C503" s="7"/>
      <c r="D503" s="7"/>
      <c r="E503" s="7"/>
      <c r="F503" s="7"/>
      <c r="G503" s="7"/>
      <c r="H503" s="7"/>
      <c r="I503" s="7"/>
      <c r="J503" s="7"/>
      <c r="K503" s="7"/>
      <c r="L503" s="7"/>
      <c r="M503" s="7"/>
      <c r="N503" s="7"/>
      <c r="O503" s="7"/>
      <c r="P503" s="7"/>
      <c r="Q503" s="7"/>
      <c r="R503" s="7"/>
      <c r="S503" s="7"/>
      <c r="T503" s="7"/>
      <c r="U503" s="7"/>
      <c r="V503" s="7"/>
      <c r="W503" s="7"/>
      <c r="X503" s="7"/>
      <c r="Y503" s="7"/>
      <c r="Z503" s="7"/>
      <c r="AA503" s="7"/>
      <c r="AB503" s="7"/>
      <c r="AC503" s="7"/>
      <c r="AD503" s="7"/>
      <c r="AE503" s="132"/>
      <c r="AF503" s="132"/>
      <c r="AG503" s="113"/>
    </row>
    <row r="504" spans="2:33">
      <c r="B504" s="7"/>
      <c r="C504" s="7"/>
      <c r="D504" s="7"/>
      <c r="E504" s="7"/>
      <c r="F504" s="7"/>
      <c r="G504" s="7"/>
      <c r="H504" s="7"/>
      <c r="I504" s="7"/>
      <c r="J504" s="7"/>
      <c r="K504" s="7"/>
      <c r="L504" s="7"/>
      <c r="M504" s="7"/>
      <c r="N504" s="7"/>
      <c r="O504" s="7"/>
      <c r="P504" s="7"/>
      <c r="Q504" s="7"/>
      <c r="R504" s="7"/>
      <c r="S504" s="7"/>
      <c r="T504" s="7"/>
      <c r="U504" s="7"/>
      <c r="V504" s="7"/>
      <c r="W504" s="7"/>
      <c r="X504" s="7"/>
      <c r="Y504" s="7"/>
      <c r="Z504" s="7"/>
      <c r="AA504" s="7"/>
      <c r="AB504" s="7"/>
      <c r="AC504" s="7"/>
      <c r="AD504" s="7"/>
      <c r="AE504" s="132"/>
      <c r="AF504" s="132"/>
      <c r="AG504" s="113"/>
    </row>
    <row r="505" spans="2:33">
      <c r="B505" s="7"/>
      <c r="C505" s="7"/>
      <c r="D505" s="7"/>
      <c r="E505" s="7"/>
      <c r="F505" s="7"/>
      <c r="G505" s="7"/>
      <c r="H505" s="7"/>
      <c r="I505" s="7"/>
      <c r="J505" s="7"/>
      <c r="K505" s="7"/>
      <c r="L505" s="7"/>
      <c r="M505" s="7"/>
      <c r="N505" s="7"/>
      <c r="O505" s="7"/>
      <c r="P505" s="7"/>
      <c r="Q505" s="7"/>
      <c r="R505" s="7"/>
      <c r="S505" s="7"/>
      <c r="T505" s="7"/>
      <c r="U505" s="7"/>
      <c r="V505" s="7"/>
      <c r="W505" s="7"/>
      <c r="X505" s="7"/>
      <c r="Y505" s="7"/>
      <c r="Z505" s="7"/>
      <c r="AA505" s="7"/>
      <c r="AB505" s="7"/>
      <c r="AC505" s="7"/>
      <c r="AD505" s="7"/>
      <c r="AE505" s="132"/>
      <c r="AF505" s="132"/>
      <c r="AG505" s="113"/>
    </row>
    <row r="506" spans="2:33">
      <c r="B506" s="7"/>
      <c r="C506" s="7"/>
      <c r="D506" s="7"/>
      <c r="E506" s="7"/>
      <c r="F506" s="7"/>
      <c r="G506" s="7"/>
      <c r="H506" s="7"/>
      <c r="I506" s="7"/>
      <c r="J506" s="7"/>
      <c r="K506" s="7"/>
      <c r="L506" s="7"/>
      <c r="M506" s="7"/>
      <c r="N506" s="7"/>
      <c r="O506" s="7"/>
      <c r="P506" s="7"/>
      <c r="Q506" s="7"/>
      <c r="R506" s="7"/>
      <c r="S506" s="7"/>
      <c r="T506" s="7"/>
      <c r="U506" s="7"/>
      <c r="V506" s="7"/>
      <c r="W506" s="7"/>
      <c r="X506" s="7"/>
      <c r="Y506" s="7"/>
      <c r="Z506" s="7"/>
      <c r="AA506" s="7"/>
      <c r="AB506" s="7"/>
      <c r="AC506" s="7"/>
      <c r="AD506" s="7"/>
      <c r="AE506" s="132"/>
      <c r="AF506" s="132"/>
      <c r="AG506" s="113"/>
    </row>
    <row r="507" spans="2:33">
      <c r="B507" s="7"/>
      <c r="C507" s="7"/>
      <c r="D507" s="7"/>
      <c r="E507" s="7"/>
      <c r="F507" s="7"/>
      <c r="G507" s="7"/>
      <c r="H507" s="7"/>
      <c r="I507" s="7"/>
      <c r="J507" s="7"/>
      <c r="K507" s="7"/>
      <c r="L507" s="7"/>
      <c r="M507" s="7"/>
      <c r="N507" s="7"/>
      <c r="O507" s="7"/>
      <c r="P507" s="7"/>
      <c r="Q507" s="7"/>
      <c r="R507" s="7"/>
      <c r="S507" s="7"/>
      <c r="T507" s="7"/>
      <c r="U507" s="7"/>
      <c r="V507" s="7"/>
      <c r="W507" s="7"/>
      <c r="X507" s="7"/>
      <c r="Y507" s="7"/>
      <c r="Z507" s="7"/>
      <c r="AA507" s="7"/>
      <c r="AB507" s="7"/>
      <c r="AC507" s="7"/>
      <c r="AD507" s="7"/>
      <c r="AE507" s="132"/>
      <c r="AF507" s="132"/>
      <c r="AG507" s="113"/>
    </row>
    <row r="508" spans="2:33">
      <c r="B508" s="7"/>
      <c r="C508" s="7"/>
      <c r="D508" s="7"/>
      <c r="E508" s="7"/>
      <c r="F508" s="7"/>
      <c r="G508" s="7"/>
      <c r="H508" s="7"/>
      <c r="I508" s="7"/>
      <c r="J508" s="7"/>
      <c r="K508" s="7"/>
      <c r="L508" s="7"/>
      <c r="M508" s="7"/>
      <c r="N508" s="7"/>
      <c r="O508" s="7"/>
      <c r="P508" s="7"/>
      <c r="Q508" s="7"/>
      <c r="R508" s="7"/>
      <c r="S508" s="7"/>
      <c r="T508" s="7"/>
      <c r="U508" s="7"/>
      <c r="V508" s="7"/>
      <c r="W508" s="7"/>
      <c r="X508" s="7"/>
      <c r="Y508" s="7"/>
      <c r="Z508" s="7"/>
      <c r="AA508" s="7"/>
      <c r="AB508" s="7"/>
      <c r="AC508" s="7"/>
      <c r="AD508" s="7"/>
      <c r="AE508" s="132"/>
      <c r="AF508" s="132"/>
      <c r="AG508" s="113"/>
    </row>
    <row r="509" spans="2:33">
      <c r="B509" s="7"/>
      <c r="C509" s="7"/>
      <c r="D509" s="7"/>
      <c r="E509" s="7"/>
      <c r="F509" s="7"/>
      <c r="G509" s="7"/>
      <c r="H509" s="7"/>
      <c r="I509" s="7"/>
      <c r="J509" s="7"/>
      <c r="K509" s="7"/>
      <c r="L509" s="7"/>
      <c r="M509" s="7"/>
      <c r="N509" s="7"/>
      <c r="O509" s="7"/>
      <c r="P509" s="7"/>
      <c r="Q509" s="7"/>
      <c r="R509" s="7"/>
      <c r="S509" s="7"/>
      <c r="T509" s="7"/>
      <c r="U509" s="7"/>
      <c r="V509" s="7"/>
      <c r="W509" s="7"/>
      <c r="X509" s="7"/>
      <c r="Y509" s="7"/>
      <c r="Z509" s="7"/>
      <c r="AA509" s="7"/>
      <c r="AB509" s="7"/>
      <c r="AC509" s="7"/>
      <c r="AD509" s="7"/>
      <c r="AE509" s="132"/>
      <c r="AF509" s="132"/>
      <c r="AG509" s="113"/>
    </row>
    <row r="510" spans="2:33">
      <c r="B510" s="7"/>
      <c r="C510" s="7"/>
      <c r="D510" s="7"/>
      <c r="E510" s="7"/>
      <c r="F510" s="7"/>
      <c r="G510" s="7"/>
      <c r="H510" s="7"/>
      <c r="I510" s="7"/>
      <c r="J510" s="7"/>
      <c r="K510" s="7"/>
      <c r="L510" s="7"/>
      <c r="M510" s="7"/>
      <c r="N510" s="7"/>
      <c r="O510" s="7"/>
      <c r="P510" s="7"/>
      <c r="Q510" s="7"/>
      <c r="R510" s="7"/>
      <c r="S510" s="7"/>
      <c r="T510" s="7"/>
      <c r="U510" s="7"/>
      <c r="V510" s="7"/>
      <c r="W510" s="7"/>
      <c r="X510" s="7"/>
      <c r="Y510" s="7"/>
      <c r="Z510" s="7"/>
      <c r="AA510" s="7"/>
      <c r="AB510" s="7"/>
      <c r="AC510" s="7"/>
      <c r="AD510" s="7"/>
      <c r="AE510" s="132"/>
      <c r="AF510" s="132"/>
      <c r="AG510" s="113"/>
    </row>
    <row r="511" spans="2:33">
      <c r="B511" s="7"/>
      <c r="C511" s="7"/>
      <c r="D511" s="7"/>
      <c r="E511" s="7"/>
      <c r="F511" s="7"/>
      <c r="G511" s="7"/>
      <c r="H511" s="7"/>
      <c r="I511" s="7"/>
      <c r="J511" s="7"/>
      <c r="K511" s="7"/>
      <c r="L511" s="7"/>
      <c r="M511" s="7"/>
      <c r="N511" s="7"/>
      <c r="O511" s="7"/>
      <c r="P511" s="7"/>
      <c r="Q511" s="7"/>
      <c r="R511" s="7"/>
      <c r="S511" s="7"/>
      <c r="T511" s="7"/>
      <c r="U511" s="7"/>
      <c r="V511" s="7"/>
      <c r="W511" s="7"/>
      <c r="X511" s="7"/>
      <c r="Y511" s="7"/>
      <c r="Z511" s="7"/>
      <c r="AA511" s="7"/>
      <c r="AB511" s="7"/>
      <c r="AC511" s="7"/>
      <c r="AD511" s="7"/>
      <c r="AE511" s="132"/>
      <c r="AF511" s="132"/>
      <c r="AG511" s="113"/>
    </row>
    <row r="512" spans="2:33">
      <c r="B512" s="7"/>
      <c r="C512" s="7"/>
      <c r="D512" s="7"/>
      <c r="E512" s="7"/>
      <c r="F512" s="7"/>
      <c r="G512" s="7"/>
      <c r="H512" s="7"/>
      <c r="I512" s="7"/>
      <c r="J512" s="7"/>
      <c r="K512" s="7"/>
      <c r="L512" s="7"/>
      <c r="M512" s="7"/>
      <c r="N512" s="7"/>
      <c r="O512" s="7"/>
      <c r="P512" s="7"/>
      <c r="Q512" s="7"/>
      <c r="R512" s="7"/>
      <c r="S512" s="7"/>
      <c r="T512" s="7"/>
      <c r="U512" s="7"/>
      <c r="V512" s="7"/>
      <c r="W512" s="7"/>
      <c r="X512" s="7"/>
      <c r="Y512" s="7"/>
      <c r="Z512" s="7"/>
      <c r="AA512" s="7"/>
      <c r="AB512" s="7"/>
      <c r="AC512" s="7"/>
      <c r="AD512" s="7"/>
      <c r="AE512" s="132"/>
      <c r="AF512" s="132"/>
      <c r="AG512" s="113"/>
    </row>
    <row r="513" spans="2:33">
      <c r="B513" s="7"/>
      <c r="C513" s="7"/>
      <c r="D513" s="7"/>
      <c r="E513" s="7"/>
      <c r="F513" s="7"/>
      <c r="G513" s="7"/>
      <c r="H513" s="7"/>
      <c r="I513" s="7"/>
      <c r="J513" s="7"/>
      <c r="K513" s="7"/>
      <c r="L513" s="7"/>
      <c r="M513" s="7"/>
      <c r="N513" s="7"/>
      <c r="O513" s="7"/>
      <c r="P513" s="7"/>
      <c r="Q513" s="7"/>
      <c r="R513" s="7"/>
      <c r="S513" s="7"/>
      <c r="T513" s="7"/>
      <c r="U513" s="7"/>
      <c r="V513" s="7"/>
      <c r="W513" s="7"/>
      <c r="X513" s="7"/>
      <c r="Y513" s="7"/>
      <c r="Z513" s="7"/>
      <c r="AA513" s="7"/>
      <c r="AB513" s="7"/>
      <c r="AC513" s="7"/>
      <c r="AD513" s="7"/>
      <c r="AE513" s="132"/>
      <c r="AF513" s="132"/>
      <c r="AG513" s="113"/>
    </row>
    <row r="514" spans="2:33">
      <c r="B514" s="7"/>
      <c r="C514" s="7"/>
      <c r="D514" s="7"/>
      <c r="E514" s="7"/>
      <c r="F514" s="7"/>
      <c r="G514" s="7"/>
      <c r="H514" s="7"/>
      <c r="I514" s="7"/>
      <c r="J514" s="7"/>
      <c r="K514" s="7"/>
      <c r="L514" s="7"/>
      <c r="M514" s="7"/>
      <c r="N514" s="7"/>
      <c r="O514" s="7"/>
      <c r="P514" s="7"/>
      <c r="Q514" s="7"/>
      <c r="R514" s="7"/>
      <c r="S514" s="7"/>
      <c r="T514" s="7"/>
      <c r="U514" s="7"/>
      <c r="V514" s="7"/>
      <c r="W514" s="7"/>
      <c r="X514" s="7"/>
      <c r="Y514" s="7"/>
      <c r="Z514" s="7"/>
      <c r="AA514" s="7"/>
      <c r="AB514" s="7"/>
      <c r="AC514" s="7"/>
      <c r="AD514" s="7"/>
      <c r="AE514" s="132"/>
      <c r="AF514" s="132"/>
      <c r="AG514" s="113"/>
    </row>
    <row r="515" spans="2:33">
      <c r="B515" s="7"/>
      <c r="C515" s="7"/>
      <c r="D515" s="7"/>
      <c r="E515" s="7"/>
      <c r="F515" s="7"/>
      <c r="G515" s="7"/>
      <c r="H515" s="7"/>
      <c r="I515" s="7"/>
      <c r="J515" s="7"/>
      <c r="K515" s="7"/>
      <c r="L515" s="7"/>
      <c r="M515" s="7"/>
      <c r="N515" s="7"/>
      <c r="O515" s="7"/>
      <c r="P515" s="7"/>
      <c r="Q515" s="7"/>
      <c r="R515" s="7"/>
      <c r="S515" s="7"/>
      <c r="T515" s="7"/>
      <c r="U515" s="7"/>
      <c r="V515" s="7"/>
      <c r="W515" s="7"/>
      <c r="X515" s="7"/>
      <c r="Y515" s="7"/>
      <c r="Z515" s="7"/>
      <c r="AA515" s="7"/>
      <c r="AB515" s="7"/>
      <c r="AC515" s="7"/>
      <c r="AD515" s="7"/>
      <c r="AE515" s="132"/>
      <c r="AF515" s="132"/>
      <c r="AG515" s="113"/>
    </row>
    <row r="516" spans="2:33">
      <c r="B516" s="7"/>
      <c r="C516" s="7"/>
      <c r="D516" s="7"/>
      <c r="E516" s="7"/>
      <c r="F516" s="7"/>
      <c r="G516" s="7"/>
      <c r="H516" s="7"/>
      <c r="I516" s="7"/>
      <c r="J516" s="7"/>
      <c r="K516" s="7"/>
      <c r="L516" s="7"/>
      <c r="M516" s="7"/>
      <c r="N516" s="7"/>
      <c r="O516" s="7"/>
      <c r="P516" s="7"/>
      <c r="Q516" s="7"/>
      <c r="R516" s="7"/>
      <c r="S516" s="7"/>
      <c r="T516" s="7"/>
      <c r="U516" s="7"/>
      <c r="V516" s="7"/>
      <c r="W516" s="7"/>
      <c r="X516" s="7"/>
      <c r="Y516" s="7"/>
      <c r="Z516" s="7"/>
      <c r="AA516" s="7"/>
      <c r="AB516" s="7"/>
      <c r="AC516" s="7"/>
      <c r="AD516" s="7"/>
      <c r="AE516" s="132"/>
      <c r="AF516" s="132"/>
      <c r="AG516" s="113"/>
    </row>
    <row r="517" spans="2:33">
      <c r="B517" s="7"/>
      <c r="C517" s="7"/>
      <c r="D517" s="7"/>
      <c r="E517" s="7"/>
      <c r="F517" s="7"/>
      <c r="G517" s="7"/>
      <c r="H517" s="7"/>
      <c r="I517" s="7"/>
      <c r="J517" s="7"/>
      <c r="K517" s="7"/>
      <c r="L517" s="7"/>
      <c r="M517" s="7"/>
      <c r="N517" s="7"/>
      <c r="O517" s="7"/>
      <c r="P517" s="7"/>
      <c r="Q517" s="7"/>
      <c r="R517" s="7"/>
      <c r="S517" s="7"/>
      <c r="T517" s="7"/>
      <c r="U517" s="7"/>
      <c r="V517" s="7"/>
      <c r="W517" s="7"/>
      <c r="X517" s="7"/>
      <c r="Y517" s="7"/>
      <c r="Z517" s="7"/>
      <c r="AA517" s="7"/>
      <c r="AB517" s="7"/>
      <c r="AC517" s="7"/>
      <c r="AD517" s="7"/>
      <c r="AE517" s="132"/>
      <c r="AF517" s="132"/>
      <c r="AG517" s="113"/>
    </row>
    <row r="518" spans="2:33">
      <c r="B518" s="7"/>
      <c r="C518" s="7"/>
      <c r="D518" s="7"/>
      <c r="E518" s="7"/>
      <c r="F518" s="7"/>
      <c r="G518" s="7"/>
      <c r="H518" s="7"/>
      <c r="I518" s="7"/>
      <c r="J518" s="7"/>
      <c r="K518" s="7"/>
      <c r="L518" s="7"/>
      <c r="M518" s="7"/>
      <c r="N518" s="7"/>
      <c r="O518" s="7"/>
      <c r="P518" s="7"/>
      <c r="Q518" s="7"/>
      <c r="R518" s="7"/>
      <c r="S518" s="7"/>
      <c r="T518" s="7"/>
      <c r="U518" s="7"/>
      <c r="V518" s="7"/>
      <c r="W518" s="7"/>
      <c r="X518" s="7"/>
      <c r="Y518" s="7"/>
      <c r="Z518" s="7"/>
      <c r="AA518" s="7"/>
      <c r="AB518" s="7"/>
      <c r="AC518" s="7"/>
      <c r="AD518" s="7"/>
      <c r="AE518" s="132"/>
      <c r="AF518" s="132"/>
      <c r="AG518" s="113"/>
    </row>
    <row r="519" spans="2:33">
      <c r="B519" s="7"/>
      <c r="C519" s="7"/>
      <c r="D519" s="7"/>
      <c r="E519" s="7"/>
      <c r="F519" s="7"/>
      <c r="G519" s="7"/>
      <c r="H519" s="7"/>
      <c r="I519" s="7"/>
      <c r="J519" s="7"/>
      <c r="K519" s="7"/>
      <c r="L519" s="7"/>
      <c r="M519" s="7"/>
      <c r="N519" s="7"/>
      <c r="O519" s="7"/>
      <c r="P519" s="7"/>
      <c r="Q519" s="7"/>
      <c r="R519" s="7"/>
      <c r="S519" s="7"/>
      <c r="T519" s="7"/>
      <c r="U519" s="7"/>
      <c r="V519" s="7"/>
      <c r="W519" s="7"/>
      <c r="X519" s="7"/>
      <c r="Y519" s="7"/>
      <c r="Z519" s="7"/>
      <c r="AA519" s="7"/>
      <c r="AB519" s="7"/>
      <c r="AC519" s="7"/>
      <c r="AD519" s="7"/>
      <c r="AE519" s="132"/>
      <c r="AF519" s="132"/>
      <c r="AG519" s="113"/>
    </row>
    <row r="520" spans="2:33">
      <c r="B520" s="7"/>
      <c r="C520" s="7"/>
      <c r="D520" s="7"/>
      <c r="E520" s="7"/>
      <c r="F520" s="7"/>
      <c r="G520" s="7"/>
      <c r="H520" s="7"/>
      <c r="I520" s="7"/>
      <c r="J520" s="7"/>
      <c r="K520" s="7"/>
      <c r="L520" s="7"/>
      <c r="M520" s="7"/>
      <c r="N520" s="7"/>
      <c r="O520" s="7"/>
      <c r="P520" s="7"/>
      <c r="Q520" s="7"/>
      <c r="R520" s="7"/>
      <c r="S520" s="7"/>
      <c r="T520" s="7"/>
      <c r="U520" s="7"/>
      <c r="V520" s="7"/>
      <c r="W520" s="7"/>
      <c r="X520" s="7"/>
      <c r="Y520" s="7"/>
      <c r="Z520" s="7"/>
      <c r="AA520" s="7"/>
      <c r="AB520" s="7"/>
      <c r="AC520" s="7"/>
      <c r="AD520" s="7"/>
      <c r="AE520" s="132"/>
      <c r="AF520" s="132"/>
      <c r="AG520" s="113"/>
    </row>
    <row r="521" spans="2:33">
      <c r="B521" s="7"/>
      <c r="C521" s="7"/>
      <c r="D521" s="7"/>
      <c r="E521" s="7"/>
      <c r="F521" s="7"/>
      <c r="G521" s="7"/>
      <c r="H521" s="7"/>
      <c r="I521" s="7"/>
      <c r="J521" s="7"/>
      <c r="K521" s="7"/>
      <c r="L521" s="7"/>
      <c r="M521" s="7"/>
      <c r="N521" s="7"/>
      <c r="O521" s="7"/>
      <c r="P521" s="7"/>
      <c r="Q521" s="7"/>
      <c r="R521" s="7"/>
      <c r="S521" s="7"/>
      <c r="T521" s="7"/>
      <c r="U521" s="7"/>
      <c r="V521" s="7"/>
      <c r="W521" s="7"/>
      <c r="X521" s="7"/>
      <c r="Y521" s="7"/>
      <c r="Z521" s="7"/>
      <c r="AA521" s="7"/>
      <c r="AB521" s="7"/>
      <c r="AC521" s="7"/>
      <c r="AD521" s="7"/>
      <c r="AE521" s="132"/>
      <c r="AF521" s="132"/>
      <c r="AG521" s="113"/>
    </row>
    <row r="522" spans="2:33">
      <c r="B522" s="7"/>
      <c r="C522" s="7"/>
      <c r="D522" s="7"/>
      <c r="E522" s="7"/>
      <c r="F522" s="7"/>
      <c r="G522" s="7"/>
      <c r="H522" s="7"/>
      <c r="I522" s="7"/>
      <c r="J522" s="7"/>
      <c r="K522" s="7"/>
      <c r="L522" s="7"/>
      <c r="M522" s="7"/>
      <c r="N522" s="7"/>
      <c r="O522" s="7"/>
      <c r="P522" s="7"/>
      <c r="Q522" s="7"/>
      <c r="R522" s="7"/>
      <c r="S522" s="7"/>
      <c r="T522" s="7"/>
      <c r="U522" s="7"/>
      <c r="V522" s="7"/>
      <c r="W522" s="7"/>
      <c r="X522" s="7"/>
      <c r="Y522" s="7"/>
      <c r="Z522" s="7"/>
      <c r="AA522" s="7"/>
      <c r="AB522" s="7"/>
      <c r="AC522" s="7"/>
      <c r="AD522" s="7"/>
      <c r="AE522" s="132"/>
      <c r="AF522" s="132"/>
      <c r="AG522" s="113"/>
    </row>
    <row r="523" spans="2:33">
      <c r="B523" s="7"/>
      <c r="C523" s="7"/>
      <c r="D523" s="7"/>
      <c r="E523" s="7"/>
      <c r="F523" s="7"/>
      <c r="G523" s="7"/>
      <c r="H523" s="7"/>
      <c r="I523" s="7"/>
      <c r="J523" s="7"/>
      <c r="K523" s="7"/>
      <c r="L523" s="7"/>
      <c r="M523" s="7"/>
      <c r="N523" s="7"/>
      <c r="O523" s="7"/>
      <c r="P523" s="7"/>
      <c r="Q523" s="7"/>
      <c r="R523" s="7"/>
      <c r="S523" s="7"/>
      <c r="T523" s="7"/>
      <c r="U523" s="7"/>
      <c r="V523" s="7"/>
      <c r="W523" s="7"/>
      <c r="X523" s="7"/>
      <c r="Y523" s="7"/>
      <c r="Z523" s="7"/>
      <c r="AA523" s="7"/>
      <c r="AB523" s="7"/>
      <c r="AC523" s="7"/>
      <c r="AD523" s="7"/>
      <c r="AE523" s="132"/>
      <c r="AF523" s="132"/>
      <c r="AG523" s="113"/>
    </row>
    <row r="524" spans="2:33">
      <c r="B524" s="7"/>
      <c r="C524" s="7"/>
      <c r="D524" s="7"/>
      <c r="E524" s="7"/>
      <c r="F524" s="7"/>
      <c r="G524" s="7"/>
      <c r="H524" s="7"/>
      <c r="I524" s="7"/>
      <c r="J524" s="7"/>
      <c r="K524" s="7"/>
      <c r="L524" s="7"/>
      <c r="M524" s="7"/>
      <c r="N524" s="7"/>
      <c r="O524" s="7"/>
      <c r="P524" s="7"/>
      <c r="Q524" s="7"/>
      <c r="R524" s="7"/>
      <c r="S524" s="7"/>
      <c r="T524" s="7"/>
      <c r="U524" s="7"/>
      <c r="V524" s="7"/>
      <c r="W524" s="7"/>
      <c r="X524" s="7"/>
      <c r="Y524" s="7"/>
      <c r="Z524" s="7"/>
      <c r="AA524" s="7"/>
      <c r="AB524" s="7"/>
      <c r="AC524" s="7"/>
      <c r="AD524" s="7"/>
      <c r="AE524" s="132"/>
      <c r="AF524" s="132"/>
      <c r="AG524" s="113"/>
    </row>
    <row r="525" spans="2:33">
      <c r="B525" s="7"/>
      <c r="C525" s="7"/>
      <c r="D525" s="7"/>
      <c r="E525" s="7"/>
      <c r="F525" s="7"/>
      <c r="G525" s="7"/>
      <c r="H525" s="7"/>
      <c r="I525" s="7"/>
      <c r="J525" s="7"/>
      <c r="K525" s="7"/>
      <c r="L525" s="7"/>
      <c r="M525" s="7"/>
      <c r="N525" s="7"/>
      <c r="O525" s="7"/>
      <c r="P525" s="7"/>
      <c r="Q525" s="7"/>
      <c r="R525" s="7"/>
      <c r="S525" s="7"/>
      <c r="T525" s="7"/>
      <c r="U525" s="7"/>
      <c r="V525" s="7"/>
      <c r="W525" s="7"/>
      <c r="X525" s="7"/>
      <c r="Y525" s="7"/>
      <c r="Z525" s="7"/>
      <c r="AA525" s="7"/>
      <c r="AB525" s="7"/>
      <c r="AC525" s="7"/>
      <c r="AD525" s="7"/>
      <c r="AE525" s="132"/>
      <c r="AF525" s="132"/>
      <c r="AG525" s="113"/>
    </row>
    <row r="526" spans="2:33">
      <c r="B526" s="7"/>
      <c r="C526" s="7"/>
      <c r="D526" s="7"/>
      <c r="E526" s="7"/>
      <c r="F526" s="7"/>
      <c r="G526" s="7"/>
      <c r="H526" s="7"/>
      <c r="I526" s="7"/>
      <c r="J526" s="7"/>
      <c r="K526" s="7"/>
      <c r="L526" s="7"/>
      <c r="M526" s="7"/>
      <c r="N526" s="7"/>
      <c r="O526" s="7"/>
      <c r="P526" s="7"/>
      <c r="Q526" s="7"/>
      <c r="R526" s="7"/>
      <c r="S526" s="7"/>
      <c r="T526" s="7"/>
      <c r="U526" s="7"/>
      <c r="V526" s="7"/>
      <c r="W526" s="7"/>
      <c r="X526" s="7"/>
      <c r="Y526" s="7"/>
      <c r="Z526" s="7"/>
      <c r="AA526" s="7"/>
      <c r="AB526" s="7"/>
      <c r="AC526" s="7"/>
      <c r="AD526" s="7"/>
      <c r="AE526" s="132"/>
      <c r="AF526" s="132"/>
      <c r="AG526" s="113"/>
    </row>
    <row r="527" spans="2:33">
      <c r="B527" s="7"/>
      <c r="C527" s="7"/>
      <c r="D527" s="7"/>
      <c r="E527" s="7"/>
      <c r="F527" s="7"/>
      <c r="G527" s="7"/>
      <c r="H527" s="7"/>
      <c r="I527" s="7"/>
      <c r="J527" s="7"/>
      <c r="K527" s="7"/>
      <c r="L527" s="7"/>
      <c r="M527" s="7"/>
      <c r="N527" s="7"/>
      <c r="O527" s="7"/>
      <c r="P527" s="7"/>
      <c r="Q527" s="7"/>
      <c r="R527" s="7"/>
      <c r="S527" s="7"/>
      <c r="T527" s="7"/>
      <c r="U527" s="7"/>
      <c r="V527" s="7"/>
      <c r="W527" s="7"/>
      <c r="X527" s="7"/>
      <c r="Y527" s="7"/>
      <c r="Z527" s="7"/>
      <c r="AA527" s="7"/>
      <c r="AB527" s="7"/>
      <c r="AC527" s="7"/>
      <c r="AD527" s="7"/>
      <c r="AE527" s="132"/>
      <c r="AF527" s="132"/>
      <c r="AG527" s="113"/>
    </row>
    <row r="528" spans="2:33">
      <c r="B528" s="7"/>
      <c r="C528" s="7"/>
      <c r="D528" s="7"/>
      <c r="E528" s="7"/>
      <c r="F528" s="7"/>
      <c r="G528" s="7"/>
      <c r="H528" s="7"/>
      <c r="I528" s="7"/>
      <c r="J528" s="7"/>
      <c r="K528" s="7"/>
      <c r="L528" s="7"/>
      <c r="M528" s="7"/>
      <c r="N528" s="7"/>
      <c r="O528" s="7"/>
      <c r="P528" s="7"/>
      <c r="Q528" s="7"/>
      <c r="R528" s="7"/>
      <c r="S528" s="7"/>
      <c r="T528" s="7"/>
      <c r="U528" s="7"/>
      <c r="V528" s="7"/>
      <c r="W528" s="7"/>
      <c r="X528" s="7"/>
      <c r="Y528" s="7"/>
      <c r="Z528" s="7"/>
      <c r="AA528" s="7"/>
      <c r="AB528" s="7"/>
      <c r="AC528" s="7"/>
      <c r="AD528" s="7"/>
      <c r="AE528" s="132"/>
      <c r="AF528" s="132"/>
      <c r="AG528" s="113"/>
    </row>
    <row r="529" spans="2:33">
      <c r="B529" s="7"/>
      <c r="C529" s="7"/>
      <c r="D529" s="7"/>
      <c r="E529" s="7"/>
      <c r="F529" s="7"/>
      <c r="G529" s="7"/>
      <c r="H529" s="7"/>
      <c r="I529" s="7"/>
      <c r="J529" s="7"/>
      <c r="K529" s="7"/>
      <c r="L529" s="7"/>
      <c r="M529" s="7"/>
      <c r="N529" s="7"/>
      <c r="O529" s="7"/>
      <c r="P529" s="7"/>
      <c r="Q529" s="7"/>
      <c r="R529" s="7"/>
      <c r="S529" s="7"/>
      <c r="T529" s="7"/>
      <c r="U529" s="7"/>
      <c r="V529" s="7"/>
      <c r="W529" s="7"/>
      <c r="X529" s="7"/>
      <c r="Y529" s="7"/>
      <c r="Z529" s="7"/>
      <c r="AA529" s="7"/>
      <c r="AB529" s="7"/>
      <c r="AC529" s="7"/>
      <c r="AD529" s="7"/>
      <c r="AE529" s="132"/>
      <c r="AF529" s="132"/>
      <c r="AG529" s="113"/>
    </row>
    <row r="530" spans="2:33">
      <c r="B530" s="7"/>
      <c r="C530" s="7"/>
      <c r="D530" s="7"/>
      <c r="E530" s="7"/>
      <c r="F530" s="7"/>
      <c r="G530" s="7"/>
      <c r="H530" s="7"/>
      <c r="I530" s="7"/>
      <c r="J530" s="7"/>
      <c r="K530" s="7"/>
      <c r="L530" s="7"/>
      <c r="M530" s="7"/>
      <c r="N530" s="7"/>
      <c r="O530" s="7"/>
      <c r="P530" s="7"/>
      <c r="Q530" s="7"/>
      <c r="R530" s="7"/>
      <c r="S530" s="7"/>
      <c r="T530" s="7"/>
      <c r="U530" s="7"/>
      <c r="V530" s="7"/>
      <c r="W530" s="7"/>
      <c r="X530" s="7"/>
      <c r="Y530" s="7"/>
      <c r="Z530" s="7"/>
      <c r="AA530" s="7"/>
      <c r="AB530" s="7"/>
      <c r="AC530" s="7"/>
      <c r="AD530" s="7"/>
      <c r="AE530" s="132"/>
      <c r="AF530" s="132"/>
      <c r="AG530" s="113"/>
    </row>
    <row r="531" spans="2:33">
      <c r="B531" s="7"/>
      <c r="C531" s="7"/>
      <c r="D531" s="7"/>
      <c r="E531" s="7"/>
      <c r="F531" s="7"/>
      <c r="G531" s="7"/>
      <c r="H531" s="7"/>
      <c r="I531" s="7"/>
      <c r="J531" s="7"/>
      <c r="K531" s="7"/>
      <c r="L531" s="7"/>
      <c r="M531" s="7"/>
      <c r="N531" s="7"/>
      <c r="O531" s="7"/>
      <c r="P531" s="7"/>
      <c r="Q531" s="7"/>
      <c r="R531" s="7"/>
      <c r="S531" s="7"/>
      <c r="T531" s="7"/>
      <c r="U531" s="7"/>
      <c r="V531" s="7"/>
      <c r="W531" s="7"/>
      <c r="X531" s="7"/>
      <c r="Y531" s="7"/>
      <c r="Z531" s="7"/>
      <c r="AA531" s="7"/>
      <c r="AB531" s="7"/>
      <c r="AC531" s="7"/>
      <c r="AD531" s="7"/>
      <c r="AE531" s="132"/>
      <c r="AF531" s="132"/>
      <c r="AG531" s="113"/>
    </row>
    <row r="532" spans="2:33">
      <c r="B532" s="7"/>
      <c r="C532" s="7"/>
      <c r="D532" s="7"/>
      <c r="E532" s="7"/>
      <c r="F532" s="7"/>
      <c r="G532" s="7"/>
      <c r="H532" s="7"/>
      <c r="I532" s="7"/>
      <c r="J532" s="7"/>
      <c r="K532" s="7"/>
      <c r="L532" s="7"/>
      <c r="M532" s="7"/>
      <c r="N532" s="7"/>
      <c r="O532" s="7"/>
      <c r="P532" s="7"/>
      <c r="Q532" s="7"/>
      <c r="R532" s="7"/>
      <c r="S532" s="7"/>
      <c r="T532" s="7"/>
      <c r="U532" s="7"/>
      <c r="V532" s="7"/>
      <c r="W532" s="7"/>
      <c r="X532" s="7"/>
      <c r="Y532" s="7"/>
      <c r="Z532" s="7"/>
      <c r="AA532" s="7"/>
      <c r="AB532" s="7"/>
      <c r="AC532" s="7"/>
      <c r="AD532" s="7"/>
      <c r="AE532" s="132"/>
      <c r="AF532" s="132"/>
      <c r="AG532" s="113"/>
    </row>
    <row r="533" spans="2:33">
      <c r="B533" s="7"/>
      <c r="C533" s="7"/>
      <c r="D533" s="7"/>
      <c r="E533" s="7"/>
      <c r="F533" s="7"/>
      <c r="G533" s="7"/>
      <c r="H533" s="7"/>
      <c r="I533" s="7"/>
      <c r="J533" s="7"/>
      <c r="K533" s="7"/>
      <c r="L533" s="7"/>
      <c r="M533" s="7"/>
      <c r="N533" s="7"/>
      <c r="O533" s="7"/>
      <c r="P533" s="7"/>
      <c r="Q533" s="7"/>
      <c r="R533" s="7"/>
      <c r="S533" s="7"/>
      <c r="T533" s="7"/>
      <c r="U533" s="7"/>
      <c r="V533" s="7"/>
      <c r="W533" s="7"/>
      <c r="X533" s="7"/>
      <c r="Y533" s="7"/>
      <c r="Z533" s="7"/>
      <c r="AA533" s="7"/>
      <c r="AB533" s="7"/>
      <c r="AC533" s="7"/>
      <c r="AD533" s="7"/>
      <c r="AE533" s="132"/>
      <c r="AF533" s="132"/>
      <c r="AG533" s="113"/>
    </row>
    <row r="534" spans="2:33">
      <c r="B534" s="7"/>
      <c r="C534" s="7"/>
      <c r="D534" s="7"/>
      <c r="E534" s="7"/>
      <c r="F534" s="7"/>
      <c r="G534" s="7"/>
      <c r="H534" s="7"/>
      <c r="I534" s="7"/>
      <c r="J534" s="7"/>
      <c r="K534" s="7"/>
      <c r="L534" s="7"/>
      <c r="M534" s="7"/>
      <c r="N534" s="7"/>
      <c r="O534" s="7"/>
      <c r="P534" s="7"/>
      <c r="Q534" s="7"/>
      <c r="R534" s="7"/>
      <c r="S534" s="7"/>
      <c r="T534" s="7"/>
      <c r="U534" s="7"/>
      <c r="V534" s="7"/>
      <c r="W534" s="7"/>
      <c r="X534" s="7"/>
      <c r="Y534" s="7"/>
      <c r="Z534" s="7"/>
      <c r="AA534" s="7"/>
      <c r="AB534" s="7"/>
      <c r="AC534" s="7"/>
      <c r="AD534" s="7"/>
      <c r="AE534" s="132"/>
      <c r="AF534" s="132"/>
      <c r="AG534" s="113"/>
    </row>
    <row r="535" spans="2:33">
      <c r="B535" s="7"/>
      <c r="C535" s="7"/>
      <c r="D535" s="7"/>
      <c r="E535" s="7"/>
      <c r="F535" s="7"/>
      <c r="G535" s="7"/>
      <c r="H535" s="7"/>
      <c r="I535" s="7"/>
      <c r="J535" s="7"/>
      <c r="K535" s="7"/>
      <c r="L535" s="7"/>
      <c r="M535" s="7"/>
      <c r="N535" s="7"/>
      <c r="O535" s="7"/>
      <c r="P535" s="7"/>
      <c r="Q535" s="7"/>
      <c r="R535" s="7"/>
      <c r="S535" s="7"/>
      <c r="T535" s="7"/>
      <c r="U535" s="7"/>
      <c r="V535" s="7"/>
      <c r="W535" s="7"/>
      <c r="X535" s="7"/>
      <c r="Y535" s="7"/>
      <c r="Z535" s="7"/>
      <c r="AA535" s="7"/>
      <c r="AB535" s="7"/>
      <c r="AC535" s="7"/>
      <c r="AD535" s="7"/>
      <c r="AE535" s="132"/>
      <c r="AF535" s="132"/>
      <c r="AG535" s="113"/>
    </row>
    <row r="536" spans="2:33">
      <c r="B536" s="7"/>
      <c r="C536" s="7"/>
      <c r="D536" s="7"/>
      <c r="E536" s="7"/>
      <c r="F536" s="7"/>
      <c r="G536" s="7"/>
      <c r="H536" s="7"/>
      <c r="I536" s="7"/>
      <c r="J536" s="7"/>
      <c r="K536" s="7"/>
      <c r="L536" s="7"/>
      <c r="M536" s="7"/>
      <c r="N536" s="7"/>
      <c r="O536" s="7"/>
      <c r="P536" s="7"/>
      <c r="Q536" s="7"/>
      <c r="R536" s="7"/>
      <c r="S536" s="7"/>
      <c r="T536" s="7"/>
      <c r="U536" s="7"/>
      <c r="V536" s="7"/>
      <c r="W536" s="7"/>
      <c r="X536" s="7"/>
      <c r="Y536" s="7"/>
      <c r="Z536" s="7"/>
      <c r="AA536" s="7"/>
      <c r="AB536" s="7"/>
      <c r="AC536" s="7"/>
      <c r="AD536" s="7"/>
      <c r="AE536" s="132"/>
      <c r="AF536" s="132"/>
      <c r="AG536" s="113"/>
    </row>
    <row r="537" spans="2:33">
      <c r="B537" s="7"/>
      <c r="C537" s="7"/>
      <c r="D537" s="7"/>
      <c r="E537" s="7"/>
      <c r="F537" s="7"/>
      <c r="G537" s="7"/>
      <c r="H537" s="7"/>
      <c r="I537" s="7"/>
      <c r="J537" s="7"/>
      <c r="K537" s="7"/>
      <c r="L537" s="7"/>
      <c r="M537" s="7"/>
      <c r="N537" s="7"/>
      <c r="O537" s="7"/>
      <c r="P537" s="7"/>
      <c r="Q537" s="7"/>
      <c r="R537" s="7"/>
      <c r="S537" s="7"/>
      <c r="T537" s="7"/>
      <c r="U537" s="7"/>
      <c r="V537" s="7"/>
      <c r="W537" s="7"/>
      <c r="X537" s="7"/>
      <c r="Y537" s="7"/>
      <c r="Z537" s="7"/>
      <c r="AA537" s="7"/>
      <c r="AB537" s="7"/>
      <c r="AC537" s="7"/>
      <c r="AD537" s="7"/>
      <c r="AE537" s="132"/>
      <c r="AF537" s="132"/>
      <c r="AG537" s="113"/>
    </row>
    <row r="538" spans="2:33">
      <c r="B538" s="7"/>
      <c r="C538" s="7"/>
      <c r="D538" s="7"/>
      <c r="E538" s="7"/>
      <c r="F538" s="7"/>
      <c r="G538" s="7"/>
      <c r="H538" s="7"/>
      <c r="I538" s="7"/>
      <c r="J538" s="7"/>
      <c r="K538" s="7"/>
      <c r="L538" s="7"/>
      <c r="M538" s="7"/>
      <c r="N538" s="7"/>
      <c r="O538" s="7"/>
      <c r="P538" s="7"/>
      <c r="Q538" s="7"/>
      <c r="R538" s="7"/>
      <c r="S538" s="7"/>
      <c r="T538" s="7"/>
      <c r="U538" s="7"/>
      <c r="V538" s="7"/>
      <c r="W538" s="7"/>
      <c r="X538" s="7"/>
      <c r="Y538" s="7"/>
      <c r="Z538" s="7"/>
      <c r="AA538" s="7"/>
      <c r="AB538" s="7"/>
      <c r="AC538" s="7"/>
      <c r="AD538" s="7"/>
      <c r="AE538" s="132"/>
      <c r="AF538" s="132"/>
      <c r="AG538" s="113"/>
    </row>
    <row r="539" spans="2:33">
      <c r="B539" s="7"/>
      <c r="C539" s="7"/>
      <c r="D539" s="7"/>
      <c r="E539" s="7"/>
      <c r="F539" s="7"/>
      <c r="G539" s="7"/>
      <c r="H539" s="7"/>
      <c r="I539" s="7"/>
      <c r="J539" s="7"/>
      <c r="K539" s="7"/>
      <c r="L539" s="7"/>
      <c r="M539" s="7"/>
      <c r="N539" s="7"/>
      <c r="O539" s="7"/>
      <c r="P539" s="7"/>
      <c r="Q539" s="7"/>
      <c r="R539" s="7"/>
      <c r="S539" s="7"/>
      <c r="T539" s="7"/>
      <c r="U539" s="7"/>
      <c r="V539" s="7"/>
      <c r="W539" s="7"/>
      <c r="X539" s="7"/>
      <c r="Y539" s="7"/>
      <c r="Z539" s="7"/>
      <c r="AA539" s="7"/>
      <c r="AB539" s="7"/>
      <c r="AC539" s="7"/>
      <c r="AD539" s="7"/>
      <c r="AE539" s="132"/>
      <c r="AF539" s="132"/>
      <c r="AG539" s="113"/>
    </row>
    <row r="540" spans="2:33">
      <c r="B540" s="7"/>
      <c r="C540" s="7"/>
      <c r="D540" s="7"/>
      <c r="E540" s="7"/>
      <c r="F540" s="7"/>
      <c r="G540" s="7"/>
      <c r="H540" s="7"/>
      <c r="I540" s="7"/>
      <c r="J540" s="7"/>
      <c r="K540" s="7"/>
      <c r="L540" s="7"/>
      <c r="M540" s="7"/>
      <c r="N540" s="7"/>
      <c r="O540" s="7"/>
      <c r="P540" s="7"/>
      <c r="Q540" s="7"/>
      <c r="R540" s="7"/>
      <c r="S540" s="7"/>
      <c r="T540" s="7"/>
      <c r="U540" s="7"/>
      <c r="V540" s="7"/>
      <c r="W540" s="7"/>
      <c r="X540" s="7"/>
      <c r="Y540" s="7"/>
      <c r="Z540" s="7"/>
      <c r="AA540" s="7"/>
      <c r="AB540" s="7"/>
      <c r="AC540" s="7"/>
      <c r="AD540" s="7"/>
      <c r="AE540" s="132"/>
      <c r="AF540" s="132"/>
      <c r="AG540" s="113"/>
    </row>
    <row r="541" spans="2:33">
      <c r="B541" s="7"/>
      <c r="C541" s="7"/>
      <c r="D541" s="7"/>
      <c r="E541" s="7"/>
      <c r="F541" s="7"/>
      <c r="G541" s="7"/>
      <c r="H541" s="7"/>
      <c r="I541" s="7"/>
      <c r="J541" s="7"/>
      <c r="K541" s="7"/>
      <c r="L541" s="7"/>
      <c r="M541" s="7"/>
      <c r="N541" s="7"/>
      <c r="O541" s="7"/>
      <c r="P541" s="7"/>
      <c r="Q541" s="7"/>
      <c r="R541" s="7"/>
      <c r="S541" s="7"/>
      <c r="T541" s="7"/>
      <c r="U541" s="7"/>
      <c r="V541" s="7"/>
      <c r="W541" s="7"/>
      <c r="X541" s="7"/>
      <c r="Y541" s="7"/>
      <c r="Z541" s="7"/>
      <c r="AA541" s="7"/>
      <c r="AB541" s="7"/>
      <c r="AC541" s="7"/>
      <c r="AD541" s="7"/>
      <c r="AE541" s="132"/>
      <c r="AF541" s="132"/>
      <c r="AG541" s="113"/>
    </row>
    <row r="542" spans="2:33">
      <c r="B542" s="7"/>
      <c r="C542" s="7"/>
      <c r="D542" s="7"/>
      <c r="E542" s="7"/>
      <c r="F542" s="7"/>
      <c r="G542" s="7"/>
      <c r="H542" s="7"/>
      <c r="I542" s="7"/>
      <c r="J542" s="7"/>
      <c r="K542" s="7"/>
      <c r="L542" s="7"/>
      <c r="M542" s="7"/>
      <c r="N542" s="7"/>
      <c r="O542" s="7"/>
      <c r="P542" s="7"/>
      <c r="Q542" s="7"/>
      <c r="R542" s="7"/>
      <c r="S542" s="7"/>
      <c r="T542" s="7"/>
      <c r="U542" s="7"/>
      <c r="V542" s="7"/>
      <c r="W542" s="7"/>
      <c r="X542" s="7"/>
      <c r="Y542" s="7"/>
      <c r="Z542" s="7"/>
      <c r="AA542" s="7"/>
      <c r="AB542" s="7"/>
      <c r="AC542" s="7"/>
      <c r="AD542" s="7"/>
      <c r="AE542" s="132"/>
      <c r="AF542" s="132"/>
      <c r="AG542" s="113"/>
    </row>
    <row r="543" spans="2:33">
      <c r="B543" s="7"/>
      <c r="C543" s="7"/>
      <c r="D543" s="7"/>
      <c r="E543" s="7"/>
      <c r="F543" s="7"/>
      <c r="G543" s="7"/>
      <c r="H543" s="7"/>
      <c r="I543" s="7"/>
      <c r="J543" s="7"/>
      <c r="K543" s="7"/>
      <c r="L543" s="7"/>
      <c r="M543" s="7"/>
      <c r="N543" s="7"/>
      <c r="O543" s="7"/>
      <c r="P543" s="7"/>
      <c r="Q543" s="7"/>
      <c r="R543" s="7"/>
      <c r="S543" s="7"/>
      <c r="T543" s="7"/>
      <c r="U543" s="7"/>
      <c r="V543" s="7"/>
      <c r="W543" s="7"/>
      <c r="X543" s="7"/>
      <c r="Y543" s="7"/>
      <c r="Z543" s="7"/>
      <c r="AA543" s="7"/>
      <c r="AB543" s="7"/>
      <c r="AC543" s="7"/>
      <c r="AD543" s="7"/>
      <c r="AE543" s="132"/>
      <c r="AF543" s="132"/>
      <c r="AG543" s="113"/>
    </row>
    <row r="544" spans="2:33">
      <c r="B544" s="7"/>
      <c r="C544" s="7"/>
      <c r="D544" s="7"/>
      <c r="E544" s="7"/>
      <c r="F544" s="7"/>
      <c r="G544" s="7"/>
      <c r="H544" s="7"/>
      <c r="I544" s="7"/>
      <c r="J544" s="7"/>
      <c r="K544" s="7"/>
      <c r="L544" s="7"/>
      <c r="M544" s="7"/>
      <c r="N544" s="7"/>
      <c r="O544" s="7"/>
      <c r="P544" s="7"/>
      <c r="Q544" s="7"/>
      <c r="R544" s="7"/>
      <c r="S544" s="7"/>
      <c r="T544" s="7"/>
      <c r="U544" s="7"/>
      <c r="V544" s="7"/>
      <c r="W544" s="7"/>
      <c r="X544" s="7"/>
      <c r="Y544" s="7"/>
      <c r="Z544" s="7"/>
      <c r="AA544" s="7"/>
      <c r="AB544" s="7"/>
      <c r="AC544" s="7"/>
      <c r="AD544" s="7"/>
      <c r="AE544" s="132"/>
      <c r="AF544" s="132"/>
      <c r="AG544" s="113"/>
    </row>
    <row r="545" spans="2:33">
      <c r="B545" s="7"/>
      <c r="C545" s="7"/>
      <c r="D545" s="7"/>
      <c r="E545" s="7"/>
      <c r="F545" s="7"/>
      <c r="G545" s="7"/>
      <c r="H545" s="7"/>
      <c r="I545" s="7"/>
      <c r="J545" s="7"/>
      <c r="K545" s="7"/>
      <c r="L545" s="7"/>
      <c r="M545" s="7"/>
      <c r="N545" s="7"/>
      <c r="O545" s="7"/>
      <c r="P545" s="7"/>
      <c r="Q545" s="7"/>
      <c r="R545" s="7"/>
      <c r="S545" s="7"/>
      <c r="T545" s="7"/>
      <c r="U545" s="7"/>
      <c r="V545" s="7"/>
      <c r="W545" s="7"/>
      <c r="X545" s="7"/>
      <c r="Y545" s="7"/>
      <c r="Z545" s="7"/>
      <c r="AA545" s="7"/>
      <c r="AB545" s="7"/>
      <c r="AC545" s="7"/>
      <c r="AD545" s="7"/>
      <c r="AE545" s="132"/>
      <c r="AF545" s="132"/>
      <c r="AG545" s="113"/>
    </row>
    <row r="546" spans="2:33">
      <c r="B546" s="7"/>
      <c r="C546" s="7"/>
      <c r="D546" s="7"/>
      <c r="E546" s="7"/>
      <c r="F546" s="7"/>
      <c r="G546" s="7"/>
      <c r="H546" s="7"/>
      <c r="I546" s="7"/>
      <c r="J546" s="7"/>
      <c r="K546" s="7"/>
      <c r="L546" s="7"/>
      <c r="M546" s="7"/>
      <c r="N546" s="7"/>
      <c r="O546" s="7"/>
      <c r="P546" s="7"/>
      <c r="Q546" s="7"/>
      <c r="R546" s="7"/>
      <c r="S546" s="7"/>
      <c r="T546" s="7"/>
      <c r="U546" s="7"/>
      <c r="V546" s="7"/>
      <c r="W546" s="7"/>
      <c r="X546" s="7"/>
      <c r="Y546" s="7"/>
      <c r="Z546" s="7"/>
      <c r="AA546" s="7"/>
      <c r="AB546" s="7"/>
      <c r="AC546" s="7"/>
      <c r="AD546" s="7"/>
      <c r="AE546" s="132"/>
      <c r="AF546" s="132"/>
      <c r="AG546" s="113"/>
    </row>
    <row r="547" spans="2:33">
      <c r="B547" s="7"/>
      <c r="C547" s="7"/>
      <c r="D547" s="7"/>
      <c r="E547" s="7"/>
      <c r="F547" s="7"/>
      <c r="G547" s="7"/>
      <c r="H547" s="7"/>
      <c r="I547" s="7"/>
      <c r="J547" s="7"/>
      <c r="K547" s="7"/>
      <c r="L547" s="7"/>
      <c r="M547" s="7"/>
      <c r="N547" s="7"/>
      <c r="O547" s="7"/>
      <c r="P547" s="7"/>
      <c r="Q547" s="7"/>
      <c r="R547" s="7"/>
      <c r="S547" s="7"/>
      <c r="T547" s="7"/>
      <c r="U547" s="7"/>
      <c r="V547" s="7"/>
      <c r="W547" s="7"/>
      <c r="X547" s="7"/>
      <c r="Y547" s="7"/>
      <c r="Z547" s="7"/>
      <c r="AA547" s="7"/>
      <c r="AB547" s="7"/>
      <c r="AC547" s="7"/>
      <c r="AD547" s="7"/>
      <c r="AE547" s="132"/>
      <c r="AF547" s="132"/>
      <c r="AG547" s="113"/>
    </row>
    <row r="548" spans="2:33">
      <c r="B548" s="7"/>
      <c r="C548" s="7"/>
      <c r="D548" s="7"/>
      <c r="E548" s="7"/>
      <c r="F548" s="7"/>
      <c r="G548" s="7"/>
      <c r="H548" s="7"/>
      <c r="I548" s="7"/>
      <c r="J548" s="7"/>
      <c r="K548" s="7"/>
      <c r="L548" s="7"/>
      <c r="M548" s="7"/>
      <c r="N548" s="7"/>
      <c r="O548" s="7"/>
      <c r="P548" s="7"/>
      <c r="Q548" s="7"/>
      <c r="R548" s="7"/>
      <c r="S548" s="7"/>
      <c r="T548" s="7"/>
      <c r="U548" s="7"/>
      <c r="V548" s="7"/>
      <c r="W548" s="7"/>
      <c r="X548" s="7"/>
      <c r="Y548" s="7"/>
      <c r="Z548" s="7"/>
      <c r="AA548" s="7"/>
      <c r="AB548" s="7"/>
      <c r="AC548" s="7"/>
      <c r="AD548" s="7"/>
      <c r="AE548" s="132"/>
      <c r="AF548" s="132"/>
      <c r="AG548" s="113"/>
    </row>
    <row r="549" spans="2:33">
      <c r="B549" s="7"/>
      <c r="C549" s="7"/>
      <c r="D549" s="7"/>
      <c r="E549" s="7"/>
      <c r="F549" s="7"/>
      <c r="G549" s="7"/>
      <c r="H549" s="7"/>
      <c r="I549" s="7"/>
      <c r="J549" s="7"/>
      <c r="K549" s="7"/>
      <c r="L549" s="7"/>
      <c r="M549" s="7"/>
      <c r="N549" s="7"/>
      <c r="O549" s="7"/>
      <c r="P549" s="7"/>
      <c r="Q549" s="7"/>
      <c r="R549" s="7"/>
      <c r="S549" s="7"/>
      <c r="T549" s="7"/>
      <c r="U549" s="7"/>
      <c r="V549" s="7"/>
      <c r="W549" s="7"/>
      <c r="X549" s="7"/>
      <c r="Y549" s="7"/>
      <c r="Z549" s="7"/>
      <c r="AA549" s="7"/>
      <c r="AB549" s="7"/>
      <c r="AC549" s="7"/>
      <c r="AD549" s="7"/>
      <c r="AE549" s="132"/>
      <c r="AF549" s="132"/>
      <c r="AG549" s="113"/>
    </row>
    <row r="550" spans="2:33">
      <c r="B550" s="7"/>
      <c r="C550" s="7"/>
      <c r="D550" s="7"/>
      <c r="E550" s="7"/>
      <c r="F550" s="7"/>
      <c r="G550" s="7"/>
      <c r="H550" s="7"/>
      <c r="I550" s="7"/>
      <c r="J550" s="7"/>
      <c r="K550" s="7"/>
      <c r="L550" s="7"/>
      <c r="M550" s="7"/>
      <c r="N550" s="7"/>
      <c r="O550" s="7"/>
      <c r="P550" s="7"/>
      <c r="Q550" s="7"/>
      <c r="R550" s="7"/>
      <c r="S550" s="7"/>
      <c r="T550" s="7"/>
      <c r="U550" s="7"/>
      <c r="V550" s="7"/>
      <c r="W550" s="7"/>
      <c r="X550" s="7"/>
      <c r="Y550" s="7"/>
      <c r="Z550" s="7"/>
      <c r="AA550" s="7"/>
      <c r="AB550" s="7"/>
      <c r="AC550" s="7"/>
      <c r="AD550" s="7"/>
      <c r="AE550" s="132"/>
      <c r="AF550" s="132"/>
      <c r="AG550" s="113"/>
    </row>
    <row r="551" spans="2:33">
      <c r="B551" s="7"/>
      <c r="C551" s="7"/>
      <c r="D551" s="7"/>
      <c r="E551" s="7"/>
      <c r="F551" s="7"/>
      <c r="G551" s="7"/>
      <c r="H551" s="7"/>
      <c r="I551" s="7"/>
      <c r="J551" s="7"/>
      <c r="K551" s="7"/>
      <c r="L551" s="7"/>
      <c r="M551" s="7"/>
      <c r="N551" s="7"/>
      <c r="O551" s="7"/>
      <c r="P551" s="7"/>
      <c r="Q551" s="7"/>
      <c r="R551" s="7"/>
      <c r="S551" s="7"/>
      <c r="T551" s="7"/>
      <c r="U551" s="7"/>
      <c r="V551" s="7"/>
      <c r="W551" s="7"/>
      <c r="X551" s="7"/>
      <c r="Y551" s="7"/>
      <c r="Z551" s="7"/>
      <c r="AA551" s="7"/>
      <c r="AB551" s="7"/>
      <c r="AC551" s="7"/>
      <c r="AD551" s="7"/>
      <c r="AE551" s="132"/>
      <c r="AF551" s="132"/>
      <c r="AG551" s="113"/>
    </row>
    <row r="552" spans="2:33">
      <c r="B552" s="7"/>
      <c r="C552" s="7"/>
      <c r="D552" s="7"/>
      <c r="E552" s="7"/>
      <c r="F552" s="7"/>
      <c r="G552" s="7"/>
      <c r="H552" s="7"/>
      <c r="I552" s="7"/>
      <c r="J552" s="7"/>
      <c r="K552" s="7"/>
      <c r="L552" s="7"/>
      <c r="M552" s="7"/>
      <c r="N552" s="7"/>
      <c r="O552" s="7"/>
      <c r="P552" s="7"/>
      <c r="Q552" s="7"/>
      <c r="R552" s="7"/>
      <c r="S552" s="7"/>
      <c r="T552" s="7"/>
      <c r="U552" s="7"/>
      <c r="V552" s="7"/>
      <c r="W552" s="7"/>
      <c r="X552" s="7"/>
      <c r="Y552" s="7"/>
      <c r="Z552" s="7"/>
      <c r="AA552" s="7"/>
      <c r="AB552" s="7"/>
      <c r="AC552" s="7"/>
      <c r="AD552" s="7"/>
      <c r="AE552" s="132"/>
      <c r="AF552" s="132"/>
      <c r="AG552" s="113"/>
    </row>
    <row r="553" spans="2:33">
      <c r="B553" s="7"/>
      <c r="C553" s="7"/>
      <c r="D553" s="7"/>
      <c r="E553" s="7"/>
      <c r="F553" s="7"/>
      <c r="G553" s="7"/>
      <c r="H553" s="7"/>
      <c r="I553" s="7"/>
      <c r="J553" s="7"/>
      <c r="K553" s="7"/>
      <c r="L553" s="7"/>
      <c r="M553" s="7"/>
      <c r="N553" s="7"/>
      <c r="O553" s="7"/>
      <c r="P553" s="7"/>
      <c r="Q553" s="7"/>
      <c r="R553" s="7"/>
      <c r="S553" s="7"/>
      <c r="T553" s="7"/>
      <c r="U553" s="7"/>
      <c r="V553" s="7"/>
      <c r="W553" s="7"/>
      <c r="X553" s="7"/>
      <c r="Y553" s="7"/>
      <c r="Z553" s="7"/>
      <c r="AA553" s="7"/>
      <c r="AB553" s="7"/>
      <c r="AC553" s="7"/>
      <c r="AD553" s="7"/>
      <c r="AE553" s="132"/>
      <c r="AF553" s="132"/>
      <c r="AG553" s="113"/>
    </row>
    <row r="554" spans="2:33">
      <c r="B554" s="7"/>
      <c r="C554" s="7"/>
      <c r="D554" s="7"/>
      <c r="E554" s="7"/>
      <c r="F554" s="7"/>
      <c r="G554" s="7"/>
      <c r="H554" s="7"/>
      <c r="I554" s="7"/>
      <c r="J554" s="7"/>
      <c r="K554" s="7"/>
      <c r="L554" s="7"/>
      <c r="M554" s="7"/>
      <c r="N554" s="7"/>
      <c r="O554" s="7"/>
      <c r="P554" s="7"/>
      <c r="Q554" s="7"/>
      <c r="R554" s="7"/>
      <c r="S554" s="7"/>
      <c r="T554" s="7"/>
      <c r="U554" s="7"/>
      <c r="V554" s="7"/>
      <c r="W554" s="7"/>
      <c r="X554" s="7"/>
      <c r="Y554" s="7"/>
      <c r="Z554" s="7"/>
      <c r="AA554" s="7"/>
      <c r="AB554" s="7"/>
      <c r="AC554" s="7"/>
      <c r="AD554" s="7"/>
      <c r="AE554" s="132"/>
      <c r="AF554" s="132"/>
      <c r="AG554" s="113"/>
    </row>
    <row r="555" spans="2:33">
      <c r="B555" s="7"/>
      <c r="C555" s="7"/>
      <c r="D555" s="7"/>
      <c r="E555" s="7"/>
      <c r="F555" s="7"/>
      <c r="G555" s="7"/>
      <c r="H555" s="7"/>
      <c r="I555" s="7"/>
      <c r="J555" s="7"/>
      <c r="K555" s="7"/>
      <c r="L555" s="7"/>
      <c r="M555" s="7"/>
      <c r="N555" s="7"/>
      <c r="O555" s="7"/>
      <c r="P555" s="7"/>
      <c r="Q555" s="7"/>
      <c r="R555" s="7"/>
      <c r="S555" s="7"/>
      <c r="T555" s="7"/>
      <c r="U555" s="7"/>
      <c r="V555" s="7"/>
      <c r="W555" s="7"/>
      <c r="X555" s="7"/>
      <c r="Y555" s="7"/>
      <c r="Z555" s="7"/>
      <c r="AA555" s="7"/>
      <c r="AB555" s="7"/>
      <c r="AC555" s="7"/>
      <c r="AD555" s="7"/>
      <c r="AE555" s="132"/>
      <c r="AF555" s="132"/>
      <c r="AG555" s="113"/>
    </row>
    <row r="556" spans="2:33">
      <c r="B556" s="7"/>
      <c r="C556" s="7"/>
      <c r="D556" s="7"/>
      <c r="E556" s="7"/>
      <c r="F556" s="7"/>
      <c r="G556" s="7"/>
      <c r="H556" s="7"/>
      <c r="I556" s="7"/>
      <c r="J556" s="7"/>
      <c r="K556" s="7"/>
      <c r="L556" s="7"/>
      <c r="M556" s="7"/>
      <c r="N556" s="7"/>
      <c r="O556" s="7"/>
      <c r="P556" s="7"/>
      <c r="Q556" s="7"/>
      <c r="R556" s="7"/>
      <c r="S556" s="7"/>
      <c r="T556" s="7"/>
      <c r="U556" s="7"/>
      <c r="V556" s="7"/>
      <c r="W556" s="7"/>
      <c r="X556" s="7"/>
      <c r="Y556" s="7"/>
      <c r="Z556" s="7"/>
      <c r="AA556" s="7"/>
      <c r="AB556" s="7"/>
      <c r="AC556" s="7"/>
      <c r="AD556" s="7"/>
      <c r="AE556" s="132"/>
      <c r="AF556" s="132"/>
      <c r="AG556" s="113"/>
    </row>
    <row r="557" spans="2:33">
      <c r="B557" s="7"/>
      <c r="C557" s="7"/>
      <c r="D557" s="7"/>
      <c r="E557" s="7"/>
      <c r="F557" s="7"/>
      <c r="G557" s="7"/>
      <c r="H557" s="7"/>
      <c r="I557" s="7"/>
      <c r="J557" s="7"/>
      <c r="K557" s="7"/>
      <c r="L557" s="7"/>
      <c r="M557" s="7"/>
      <c r="N557" s="7"/>
      <c r="O557" s="7"/>
      <c r="P557" s="7"/>
      <c r="Q557" s="7"/>
      <c r="R557" s="7"/>
      <c r="S557" s="7"/>
      <c r="T557" s="7"/>
      <c r="U557" s="7"/>
      <c r="V557" s="7"/>
      <c r="W557" s="7"/>
      <c r="X557" s="7"/>
      <c r="Y557" s="7"/>
      <c r="Z557" s="7"/>
      <c r="AA557" s="7"/>
      <c r="AB557" s="7"/>
      <c r="AC557" s="7"/>
      <c r="AD557" s="7"/>
      <c r="AE557" s="132"/>
      <c r="AF557" s="132"/>
      <c r="AG557" s="113"/>
    </row>
    <row r="558" spans="2:33">
      <c r="B558" s="7"/>
      <c r="C558" s="7"/>
      <c r="D558" s="7"/>
      <c r="E558" s="7"/>
      <c r="F558" s="7"/>
      <c r="G558" s="7"/>
      <c r="H558" s="7"/>
      <c r="I558" s="7"/>
      <c r="J558" s="7"/>
      <c r="K558" s="7"/>
      <c r="L558" s="7"/>
      <c r="M558" s="7"/>
      <c r="N558" s="7"/>
      <c r="O558" s="7"/>
      <c r="P558" s="7"/>
      <c r="Q558" s="7"/>
      <c r="R558" s="7"/>
      <c r="S558" s="7"/>
      <c r="T558" s="7"/>
      <c r="U558" s="7"/>
      <c r="V558" s="7"/>
      <c r="W558" s="7"/>
      <c r="X558" s="7"/>
      <c r="Y558" s="7"/>
      <c r="Z558" s="7"/>
      <c r="AA558" s="7"/>
      <c r="AB558" s="7"/>
      <c r="AC558" s="7"/>
      <c r="AD558" s="7"/>
      <c r="AE558" s="132"/>
      <c r="AF558" s="132"/>
      <c r="AG558" s="113"/>
    </row>
    <row r="559" spans="2:33">
      <c r="B559" s="7"/>
      <c r="C559" s="7"/>
      <c r="D559" s="7"/>
      <c r="E559" s="7"/>
      <c r="F559" s="7"/>
      <c r="G559" s="7"/>
      <c r="H559" s="7"/>
      <c r="I559" s="7"/>
      <c r="J559" s="7"/>
      <c r="K559" s="7"/>
      <c r="L559" s="7"/>
      <c r="M559" s="7"/>
      <c r="N559" s="7"/>
      <c r="O559" s="7"/>
      <c r="P559" s="7"/>
      <c r="Q559" s="7"/>
      <c r="R559" s="7"/>
      <c r="S559" s="7"/>
      <c r="T559" s="7"/>
      <c r="U559" s="7"/>
      <c r="V559" s="7"/>
      <c r="W559" s="7"/>
      <c r="X559" s="7"/>
      <c r="Y559" s="7"/>
      <c r="Z559" s="7"/>
      <c r="AA559" s="7"/>
      <c r="AB559" s="7"/>
      <c r="AC559" s="7"/>
      <c r="AD559" s="7"/>
      <c r="AE559" s="132"/>
      <c r="AF559" s="132"/>
      <c r="AG559" s="113"/>
    </row>
    <row r="560" spans="2:33">
      <c r="B560" s="7"/>
      <c r="C560" s="7"/>
      <c r="D560" s="7"/>
      <c r="E560" s="7"/>
      <c r="F560" s="7"/>
      <c r="G560" s="7"/>
      <c r="H560" s="7"/>
      <c r="I560" s="7"/>
      <c r="J560" s="7"/>
      <c r="K560" s="7"/>
      <c r="L560" s="7"/>
      <c r="M560" s="7"/>
      <c r="N560" s="7"/>
      <c r="O560" s="7"/>
      <c r="P560" s="7"/>
      <c r="Q560" s="7"/>
      <c r="R560" s="7"/>
      <c r="S560" s="7"/>
      <c r="T560" s="7"/>
      <c r="U560" s="7"/>
      <c r="V560" s="7"/>
      <c r="W560" s="7"/>
      <c r="X560" s="7"/>
      <c r="Y560" s="7"/>
      <c r="Z560" s="7"/>
      <c r="AA560" s="7"/>
      <c r="AB560" s="7"/>
      <c r="AC560" s="7"/>
      <c r="AD560" s="7"/>
      <c r="AE560" s="132"/>
      <c r="AF560" s="132"/>
      <c r="AG560" s="113"/>
    </row>
    <row r="561" spans="2:33">
      <c r="B561" s="7"/>
      <c r="C561" s="7"/>
      <c r="D561" s="7"/>
      <c r="E561" s="7"/>
      <c r="F561" s="7"/>
      <c r="G561" s="7"/>
      <c r="H561" s="7"/>
      <c r="I561" s="7"/>
      <c r="J561" s="7"/>
      <c r="K561" s="7"/>
      <c r="L561" s="7"/>
      <c r="M561" s="7"/>
      <c r="N561" s="7"/>
      <c r="O561" s="7"/>
      <c r="P561" s="7"/>
      <c r="Q561" s="7"/>
      <c r="R561" s="7"/>
      <c r="S561" s="7"/>
      <c r="T561" s="7"/>
      <c r="U561" s="7"/>
      <c r="V561" s="7"/>
      <c r="W561" s="7"/>
      <c r="X561" s="7"/>
      <c r="Y561" s="7"/>
      <c r="Z561" s="7"/>
      <c r="AA561" s="7"/>
      <c r="AB561" s="7"/>
      <c r="AC561" s="7"/>
      <c r="AD561" s="7"/>
      <c r="AE561" s="132"/>
      <c r="AF561" s="132"/>
      <c r="AG561" s="113"/>
    </row>
    <row r="562" spans="2:33">
      <c r="B562" s="7"/>
      <c r="C562" s="7"/>
      <c r="D562" s="7"/>
      <c r="E562" s="7"/>
      <c r="F562" s="7"/>
      <c r="G562" s="7"/>
      <c r="H562" s="7"/>
      <c r="I562" s="7"/>
      <c r="J562" s="7"/>
      <c r="K562" s="7"/>
      <c r="L562" s="7"/>
      <c r="M562" s="7"/>
      <c r="N562" s="7"/>
      <c r="O562" s="7"/>
      <c r="P562" s="7"/>
      <c r="Q562" s="7"/>
      <c r="R562" s="7"/>
      <c r="S562" s="7"/>
      <c r="T562" s="7"/>
      <c r="U562" s="7"/>
      <c r="V562" s="7"/>
      <c r="W562" s="7"/>
      <c r="X562" s="7"/>
      <c r="Y562" s="7"/>
      <c r="Z562" s="7"/>
      <c r="AA562" s="7"/>
      <c r="AB562" s="7"/>
      <c r="AC562" s="7"/>
      <c r="AD562" s="7"/>
      <c r="AE562" s="132"/>
      <c r="AF562" s="132"/>
      <c r="AG562" s="113"/>
    </row>
    <row r="563" spans="2:33">
      <c r="B563" s="7"/>
      <c r="C563" s="7"/>
      <c r="D563" s="7"/>
      <c r="E563" s="7"/>
      <c r="F563" s="7"/>
      <c r="G563" s="7"/>
      <c r="H563" s="7"/>
      <c r="I563" s="7"/>
      <c r="J563" s="7"/>
      <c r="K563" s="7"/>
      <c r="L563" s="7"/>
      <c r="M563" s="7"/>
      <c r="N563" s="7"/>
      <c r="O563" s="7"/>
      <c r="P563" s="7"/>
      <c r="Q563" s="7"/>
      <c r="R563" s="7"/>
      <c r="S563" s="7"/>
      <c r="T563" s="7"/>
      <c r="U563" s="7"/>
      <c r="V563" s="7"/>
      <c r="W563" s="7"/>
      <c r="X563" s="7"/>
      <c r="Y563" s="7"/>
      <c r="Z563" s="7"/>
      <c r="AA563" s="7"/>
      <c r="AB563" s="7"/>
      <c r="AC563" s="7"/>
      <c r="AD563" s="7"/>
      <c r="AE563" s="132"/>
      <c r="AF563" s="132"/>
      <c r="AG563" s="113"/>
    </row>
    <row r="564" spans="2:33">
      <c r="B564" s="7"/>
      <c r="C564" s="7"/>
      <c r="D564" s="7"/>
      <c r="E564" s="7"/>
      <c r="F564" s="7"/>
      <c r="G564" s="7"/>
      <c r="H564" s="7"/>
      <c r="I564" s="7"/>
      <c r="J564" s="7"/>
      <c r="K564" s="7"/>
      <c r="L564" s="7"/>
      <c r="M564" s="7"/>
      <c r="N564" s="7"/>
      <c r="O564" s="7"/>
      <c r="P564" s="7"/>
      <c r="Q564" s="7"/>
      <c r="R564" s="7"/>
      <c r="S564" s="7"/>
      <c r="T564" s="7"/>
      <c r="U564" s="7"/>
      <c r="V564" s="7"/>
      <c r="W564" s="7"/>
      <c r="X564" s="7"/>
      <c r="Y564" s="7"/>
      <c r="Z564" s="7"/>
      <c r="AA564" s="7"/>
      <c r="AB564" s="7"/>
      <c r="AC564" s="7"/>
      <c r="AD564" s="7"/>
      <c r="AE564" s="132"/>
      <c r="AF564" s="132"/>
      <c r="AG564" s="113"/>
    </row>
    <row r="565" spans="2:33">
      <c r="B565" s="7"/>
      <c r="C565" s="7"/>
      <c r="D565" s="7"/>
      <c r="E565" s="7"/>
      <c r="F565" s="7"/>
      <c r="G565" s="7"/>
      <c r="H565" s="7"/>
      <c r="I565" s="7"/>
      <c r="J565" s="7"/>
      <c r="K565" s="7"/>
      <c r="L565" s="7"/>
      <c r="M565" s="7"/>
      <c r="N565" s="7"/>
      <c r="O565" s="7"/>
      <c r="P565" s="7"/>
      <c r="Q565" s="7"/>
      <c r="R565" s="7"/>
      <c r="S565" s="7"/>
      <c r="T565" s="7"/>
      <c r="U565" s="7"/>
      <c r="V565" s="7"/>
      <c r="W565" s="7"/>
      <c r="X565" s="7"/>
      <c r="Y565" s="7"/>
      <c r="Z565" s="7"/>
      <c r="AA565" s="7"/>
      <c r="AB565" s="7"/>
      <c r="AC565" s="7"/>
      <c r="AD565" s="7"/>
      <c r="AE565" s="132"/>
      <c r="AF565" s="132"/>
      <c r="AG565" s="113"/>
    </row>
    <row r="566" spans="2:33">
      <c r="B566" s="7"/>
      <c r="C566" s="7"/>
      <c r="D566" s="7"/>
      <c r="E566" s="7"/>
      <c r="F566" s="7"/>
      <c r="G566" s="7"/>
      <c r="H566" s="7"/>
      <c r="I566" s="7"/>
      <c r="J566" s="7"/>
      <c r="K566" s="7"/>
      <c r="L566" s="7"/>
      <c r="M566" s="7"/>
      <c r="N566" s="7"/>
      <c r="O566" s="7"/>
      <c r="P566" s="7"/>
      <c r="Q566" s="7"/>
      <c r="R566" s="7"/>
      <c r="S566" s="7"/>
      <c r="T566" s="7"/>
      <c r="U566" s="7"/>
      <c r="V566" s="7"/>
      <c r="W566" s="7"/>
      <c r="X566" s="7"/>
      <c r="Y566" s="7"/>
      <c r="Z566" s="7"/>
      <c r="AA566" s="7"/>
      <c r="AB566" s="7"/>
      <c r="AC566" s="7"/>
      <c r="AD566" s="7"/>
      <c r="AE566" s="132"/>
      <c r="AF566" s="132"/>
      <c r="AG566" s="113"/>
    </row>
    <row r="567" spans="2:33">
      <c r="B567" s="7"/>
      <c r="C567" s="7"/>
      <c r="D567" s="7"/>
      <c r="E567" s="7"/>
      <c r="F567" s="7"/>
      <c r="G567" s="7"/>
      <c r="H567" s="7"/>
      <c r="I567" s="7"/>
      <c r="J567" s="7"/>
      <c r="K567" s="7"/>
      <c r="L567" s="7"/>
      <c r="M567" s="7"/>
      <c r="N567" s="7"/>
      <c r="O567" s="7"/>
      <c r="P567" s="7"/>
      <c r="Q567" s="7"/>
      <c r="R567" s="7"/>
      <c r="S567" s="7"/>
      <c r="T567" s="7"/>
      <c r="U567" s="7"/>
      <c r="V567" s="7"/>
      <c r="W567" s="7"/>
      <c r="X567" s="7"/>
      <c r="Y567" s="7"/>
      <c r="Z567" s="7"/>
      <c r="AA567" s="7"/>
      <c r="AB567" s="7"/>
      <c r="AC567" s="7"/>
      <c r="AD567" s="7"/>
      <c r="AE567" s="132"/>
      <c r="AF567" s="132"/>
      <c r="AG567" s="113"/>
    </row>
    <row r="568" spans="2:33">
      <c r="B568" s="7"/>
      <c r="C568" s="7"/>
      <c r="D568" s="7"/>
      <c r="E568" s="7"/>
      <c r="F568" s="7"/>
      <c r="G568" s="7"/>
      <c r="H568" s="7"/>
      <c r="I568" s="7"/>
      <c r="J568" s="7"/>
      <c r="K568" s="7"/>
      <c r="L568" s="7"/>
      <c r="M568" s="7"/>
      <c r="N568" s="7"/>
      <c r="O568" s="7"/>
      <c r="P568" s="7"/>
      <c r="Q568" s="7"/>
      <c r="R568" s="7"/>
      <c r="S568" s="7"/>
      <c r="T568" s="7"/>
      <c r="U568" s="7"/>
      <c r="V568" s="7"/>
      <c r="W568" s="7"/>
      <c r="X568" s="7"/>
      <c r="Y568" s="7"/>
      <c r="Z568" s="7"/>
      <c r="AA568" s="7"/>
      <c r="AB568" s="7"/>
      <c r="AC568" s="7"/>
      <c r="AD568" s="7"/>
      <c r="AE568" s="132"/>
      <c r="AF568" s="132"/>
      <c r="AG568" s="113"/>
    </row>
    <row r="569" spans="2:33">
      <c r="B569" s="7"/>
      <c r="C569" s="7"/>
      <c r="D569" s="7"/>
      <c r="E569" s="7"/>
      <c r="F569" s="7"/>
      <c r="G569" s="7"/>
      <c r="H569" s="7"/>
      <c r="I569" s="7"/>
      <c r="J569" s="7"/>
      <c r="K569" s="7"/>
      <c r="L569" s="7"/>
      <c r="M569" s="7"/>
      <c r="N569" s="7"/>
      <c r="O569" s="7"/>
      <c r="P569" s="7"/>
      <c r="Q569" s="7"/>
      <c r="R569" s="7"/>
      <c r="S569" s="7"/>
      <c r="T569" s="7"/>
      <c r="U569" s="7"/>
      <c r="V569" s="7"/>
      <c r="W569" s="7"/>
      <c r="X569" s="7"/>
      <c r="Y569" s="7"/>
      <c r="Z569" s="7"/>
      <c r="AA569" s="7"/>
      <c r="AB569" s="7"/>
      <c r="AC569" s="7"/>
      <c r="AD569" s="7"/>
      <c r="AE569" s="132"/>
      <c r="AF569" s="132"/>
      <c r="AG569" s="113"/>
    </row>
    <row r="570" spans="2:33">
      <c r="B570" s="7"/>
      <c r="C570" s="7"/>
      <c r="D570" s="7"/>
      <c r="E570" s="7"/>
      <c r="F570" s="7"/>
      <c r="G570" s="7"/>
      <c r="H570" s="7"/>
      <c r="I570" s="7"/>
      <c r="J570" s="7"/>
      <c r="K570" s="7"/>
      <c r="L570" s="7"/>
      <c r="M570" s="7"/>
      <c r="N570" s="7"/>
      <c r="O570" s="7"/>
      <c r="P570" s="7"/>
      <c r="Q570" s="7"/>
      <c r="R570" s="7"/>
      <c r="S570" s="7"/>
      <c r="T570" s="7"/>
      <c r="U570" s="7"/>
      <c r="V570" s="7"/>
      <c r="W570" s="7"/>
      <c r="X570" s="7"/>
      <c r="Y570" s="7"/>
      <c r="Z570" s="7"/>
      <c r="AA570" s="7"/>
      <c r="AB570" s="7"/>
      <c r="AC570" s="7"/>
      <c r="AD570" s="7"/>
      <c r="AE570" s="132"/>
      <c r="AF570" s="132"/>
      <c r="AG570" s="113"/>
    </row>
    <row r="571" spans="2:33">
      <c r="B571" s="7"/>
      <c r="C571" s="7"/>
      <c r="D571" s="7"/>
      <c r="E571" s="7"/>
      <c r="F571" s="7"/>
      <c r="G571" s="7"/>
      <c r="H571" s="7"/>
      <c r="I571" s="7"/>
      <c r="J571" s="7"/>
      <c r="K571" s="7"/>
      <c r="L571" s="7"/>
      <c r="M571" s="7"/>
      <c r="N571" s="7"/>
      <c r="O571" s="7"/>
      <c r="P571" s="7"/>
      <c r="Q571" s="7"/>
      <c r="R571" s="7"/>
      <c r="S571" s="7"/>
      <c r="T571" s="7"/>
      <c r="U571" s="7"/>
      <c r="V571" s="7"/>
      <c r="W571" s="7"/>
      <c r="X571" s="7"/>
      <c r="Y571" s="7"/>
      <c r="Z571" s="7"/>
      <c r="AA571" s="7"/>
      <c r="AB571" s="7"/>
      <c r="AC571" s="7"/>
      <c r="AD571" s="7"/>
      <c r="AE571" s="132"/>
      <c r="AF571" s="132"/>
      <c r="AG571" s="113"/>
    </row>
    <row r="572" spans="2:33">
      <c r="B572" s="7"/>
      <c r="C572" s="7"/>
      <c r="D572" s="7"/>
      <c r="E572" s="7"/>
      <c r="F572" s="7"/>
      <c r="G572" s="7"/>
      <c r="H572" s="7"/>
      <c r="I572" s="7"/>
      <c r="J572" s="7"/>
      <c r="K572" s="7"/>
      <c r="L572" s="7"/>
      <c r="M572" s="7"/>
      <c r="N572" s="7"/>
      <c r="O572" s="7"/>
      <c r="P572" s="7"/>
      <c r="Q572" s="7"/>
      <c r="R572" s="7"/>
      <c r="S572" s="7"/>
      <c r="T572" s="7"/>
      <c r="U572" s="7"/>
      <c r="V572" s="7"/>
      <c r="W572" s="7"/>
      <c r="X572" s="7"/>
      <c r="Y572" s="7"/>
      <c r="Z572" s="7"/>
      <c r="AA572" s="7"/>
      <c r="AB572" s="7"/>
      <c r="AC572" s="7"/>
      <c r="AD572" s="7"/>
      <c r="AE572" s="132"/>
      <c r="AF572" s="132"/>
      <c r="AG572" s="113"/>
    </row>
    <row r="573" spans="2:33">
      <c r="B573" s="7"/>
      <c r="C573" s="7"/>
      <c r="D573" s="7"/>
      <c r="E573" s="7"/>
      <c r="F573" s="7"/>
      <c r="G573" s="7"/>
      <c r="H573" s="7"/>
      <c r="I573" s="7"/>
      <c r="J573" s="7"/>
      <c r="K573" s="7"/>
      <c r="L573" s="7"/>
      <c r="M573" s="7"/>
      <c r="N573" s="7"/>
      <c r="O573" s="7"/>
      <c r="P573" s="7"/>
      <c r="Q573" s="7"/>
      <c r="R573" s="7"/>
      <c r="S573" s="7"/>
      <c r="T573" s="7"/>
      <c r="U573" s="7"/>
      <c r="V573" s="7"/>
      <c r="W573" s="7"/>
      <c r="X573" s="7"/>
      <c r="Y573" s="7"/>
      <c r="Z573" s="7"/>
      <c r="AA573" s="7"/>
      <c r="AB573" s="7"/>
      <c r="AC573" s="7"/>
      <c r="AD573" s="7"/>
      <c r="AE573" s="132"/>
      <c r="AF573" s="132"/>
      <c r="AG573" s="113"/>
    </row>
    <row r="574" spans="2:33">
      <c r="B574" s="7"/>
      <c r="C574" s="7"/>
      <c r="D574" s="7"/>
      <c r="E574" s="7"/>
      <c r="F574" s="7"/>
      <c r="G574" s="7"/>
      <c r="H574" s="7"/>
      <c r="I574" s="7"/>
      <c r="J574" s="7"/>
      <c r="K574" s="7"/>
      <c r="L574" s="7"/>
      <c r="M574" s="7"/>
      <c r="N574" s="7"/>
      <c r="O574" s="7"/>
      <c r="P574" s="7"/>
      <c r="Q574" s="7"/>
      <c r="R574" s="7"/>
      <c r="S574" s="7"/>
      <c r="T574" s="7"/>
      <c r="U574" s="7"/>
      <c r="V574" s="7"/>
      <c r="W574" s="7"/>
      <c r="X574" s="7"/>
      <c r="Y574" s="7"/>
      <c r="Z574" s="7"/>
      <c r="AA574" s="7"/>
      <c r="AB574" s="7"/>
      <c r="AC574" s="7"/>
      <c r="AD574" s="7"/>
      <c r="AE574" s="132"/>
      <c r="AF574" s="132"/>
      <c r="AG574" s="113"/>
    </row>
    <row r="575" spans="2:33">
      <c r="B575" s="7"/>
      <c r="C575" s="7"/>
      <c r="D575" s="7"/>
      <c r="E575" s="7"/>
      <c r="F575" s="7"/>
      <c r="G575" s="7"/>
      <c r="H575" s="7"/>
      <c r="I575" s="7"/>
      <c r="J575" s="7"/>
      <c r="K575" s="7"/>
      <c r="L575" s="7"/>
      <c r="M575" s="7"/>
      <c r="N575" s="7"/>
      <c r="O575" s="7"/>
      <c r="P575" s="7"/>
      <c r="Q575" s="7"/>
      <c r="R575" s="7"/>
      <c r="S575" s="7"/>
      <c r="T575" s="7"/>
      <c r="U575" s="7"/>
      <c r="V575" s="7"/>
      <c r="W575" s="7"/>
      <c r="X575" s="7"/>
      <c r="Y575" s="7"/>
      <c r="Z575" s="7"/>
      <c r="AA575" s="7"/>
      <c r="AB575" s="7"/>
      <c r="AC575" s="7"/>
      <c r="AD575" s="7"/>
      <c r="AE575" s="132"/>
      <c r="AF575" s="132"/>
      <c r="AG575" s="113"/>
    </row>
    <row r="576" spans="2:33">
      <c r="B576" s="7"/>
      <c r="C576" s="7"/>
      <c r="D576" s="7"/>
      <c r="E576" s="7"/>
      <c r="F576" s="7"/>
      <c r="G576" s="7"/>
      <c r="H576" s="7"/>
      <c r="I576" s="7"/>
      <c r="J576" s="7"/>
      <c r="K576" s="7"/>
      <c r="L576" s="7"/>
      <c r="M576" s="7"/>
      <c r="N576" s="7"/>
      <c r="O576" s="7"/>
      <c r="P576" s="7"/>
      <c r="Q576" s="7"/>
      <c r="R576" s="7"/>
      <c r="S576" s="7"/>
      <c r="T576" s="7"/>
      <c r="U576" s="7"/>
      <c r="V576" s="7"/>
      <c r="W576" s="7"/>
      <c r="X576" s="7"/>
      <c r="Y576" s="7"/>
      <c r="Z576" s="7"/>
      <c r="AA576" s="7"/>
      <c r="AB576" s="7"/>
      <c r="AC576" s="7"/>
      <c r="AD576" s="7"/>
      <c r="AE576" s="132"/>
      <c r="AF576" s="132"/>
      <c r="AG576" s="113"/>
    </row>
    <row r="577" spans="2:33">
      <c r="B577" s="7"/>
      <c r="C577" s="7"/>
      <c r="D577" s="7"/>
      <c r="E577" s="7"/>
      <c r="F577" s="7"/>
      <c r="G577" s="7"/>
      <c r="H577" s="7"/>
      <c r="I577" s="7"/>
      <c r="J577" s="7"/>
      <c r="K577" s="7"/>
      <c r="L577" s="7"/>
      <c r="M577" s="7"/>
      <c r="N577" s="7"/>
      <c r="O577" s="7"/>
      <c r="P577" s="7"/>
      <c r="Q577" s="7"/>
      <c r="R577" s="7"/>
      <c r="S577" s="7"/>
      <c r="T577" s="7"/>
      <c r="U577" s="7"/>
      <c r="V577" s="7"/>
      <c r="W577" s="7"/>
      <c r="X577" s="7"/>
      <c r="Y577" s="7"/>
      <c r="Z577" s="7"/>
      <c r="AA577" s="7"/>
      <c r="AB577" s="7"/>
      <c r="AC577" s="7"/>
      <c r="AD577" s="7"/>
      <c r="AE577" s="132"/>
      <c r="AF577" s="132"/>
      <c r="AG577" s="113"/>
    </row>
    <row r="578" spans="2:33">
      <c r="B578" s="7"/>
      <c r="C578" s="7"/>
      <c r="D578" s="7"/>
      <c r="E578" s="7"/>
      <c r="F578" s="7"/>
      <c r="G578" s="7"/>
      <c r="H578" s="7"/>
      <c r="I578" s="7"/>
      <c r="J578" s="7"/>
      <c r="K578" s="7"/>
      <c r="L578" s="7"/>
      <c r="M578" s="7"/>
      <c r="N578" s="7"/>
      <c r="O578" s="7"/>
      <c r="P578" s="7"/>
      <c r="Q578" s="7"/>
      <c r="R578" s="7"/>
      <c r="S578" s="7"/>
      <c r="T578" s="7"/>
      <c r="U578" s="7"/>
      <c r="V578" s="7"/>
      <c r="W578" s="7"/>
      <c r="X578" s="7"/>
      <c r="Y578" s="7"/>
      <c r="Z578" s="7"/>
      <c r="AA578" s="7"/>
      <c r="AB578" s="7"/>
      <c r="AC578" s="7"/>
      <c r="AD578" s="7"/>
      <c r="AE578" s="132"/>
      <c r="AF578" s="132"/>
      <c r="AG578" s="113"/>
    </row>
    <row r="579" spans="2:33">
      <c r="B579" s="7"/>
      <c r="C579" s="7"/>
      <c r="D579" s="7"/>
      <c r="E579" s="7"/>
      <c r="F579" s="7"/>
      <c r="G579" s="7"/>
      <c r="H579" s="7"/>
      <c r="I579" s="7"/>
      <c r="J579" s="7"/>
      <c r="K579" s="7"/>
      <c r="L579" s="7"/>
      <c r="M579" s="7"/>
      <c r="N579" s="7"/>
      <c r="O579" s="7"/>
      <c r="P579" s="7"/>
      <c r="Q579" s="7"/>
      <c r="R579" s="7"/>
      <c r="S579" s="7"/>
      <c r="T579" s="7"/>
      <c r="U579" s="7"/>
      <c r="V579" s="7"/>
      <c r="W579" s="7"/>
      <c r="X579" s="7"/>
      <c r="Y579" s="7"/>
      <c r="Z579" s="7"/>
      <c r="AA579" s="7"/>
      <c r="AB579" s="7"/>
      <c r="AC579" s="7"/>
      <c r="AD579" s="7"/>
      <c r="AE579" s="132"/>
      <c r="AF579" s="132"/>
      <c r="AG579" s="113"/>
    </row>
    <row r="580" spans="2:33">
      <c r="B580" s="7"/>
      <c r="C580" s="7"/>
      <c r="D580" s="7"/>
      <c r="E580" s="7"/>
      <c r="F580" s="7"/>
      <c r="G580" s="7"/>
      <c r="H580" s="7"/>
      <c r="I580" s="7"/>
      <c r="J580" s="7"/>
      <c r="K580" s="7"/>
      <c r="L580" s="7"/>
      <c r="M580" s="7"/>
      <c r="N580" s="7"/>
      <c r="O580" s="7"/>
      <c r="P580" s="7"/>
      <c r="Q580" s="7"/>
      <c r="R580" s="7"/>
      <c r="S580" s="7"/>
      <c r="T580" s="7"/>
      <c r="U580" s="7"/>
      <c r="V580" s="7"/>
      <c r="W580" s="7"/>
      <c r="X580" s="7"/>
      <c r="Y580" s="7"/>
      <c r="Z580" s="7"/>
      <c r="AA580" s="7"/>
      <c r="AB580" s="7"/>
      <c r="AC580" s="7"/>
      <c r="AD580" s="7"/>
      <c r="AE580" s="132"/>
      <c r="AF580" s="132"/>
      <c r="AG580" s="113"/>
    </row>
    <row r="581" spans="2:33">
      <c r="B581" s="7"/>
      <c r="C581" s="7"/>
      <c r="D581" s="7"/>
      <c r="E581" s="7"/>
      <c r="F581" s="7"/>
      <c r="G581" s="7"/>
      <c r="H581" s="7"/>
      <c r="I581" s="7"/>
      <c r="J581" s="7"/>
      <c r="K581" s="7"/>
      <c r="L581" s="7"/>
      <c r="M581" s="7"/>
      <c r="N581" s="7"/>
      <c r="O581" s="7"/>
      <c r="P581" s="7"/>
      <c r="Q581" s="7"/>
      <c r="R581" s="7"/>
      <c r="S581" s="7"/>
      <c r="T581" s="7"/>
      <c r="U581" s="7"/>
      <c r="V581" s="7"/>
      <c r="W581" s="7"/>
      <c r="X581" s="7"/>
      <c r="Y581" s="7"/>
      <c r="Z581" s="7"/>
      <c r="AA581" s="7"/>
      <c r="AB581" s="7"/>
      <c r="AC581" s="7"/>
      <c r="AD581" s="7"/>
      <c r="AE581" s="132"/>
      <c r="AF581" s="132"/>
      <c r="AG581" s="113"/>
    </row>
    <row r="582" spans="2:33">
      <c r="B582" s="7"/>
      <c r="C582" s="7"/>
      <c r="D582" s="7"/>
      <c r="E582" s="7"/>
      <c r="F582" s="7"/>
      <c r="G582" s="7"/>
      <c r="H582" s="7"/>
      <c r="I582" s="7"/>
      <c r="J582" s="7"/>
      <c r="K582" s="7"/>
      <c r="L582" s="7"/>
      <c r="M582" s="7"/>
      <c r="N582" s="7"/>
      <c r="O582" s="7"/>
      <c r="P582" s="7"/>
      <c r="Q582" s="7"/>
      <c r="R582" s="7"/>
      <c r="S582" s="7"/>
      <c r="T582" s="7"/>
      <c r="U582" s="7"/>
      <c r="V582" s="7"/>
      <c r="W582" s="7"/>
      <c r="X582" s="7"/>
      <c r="Y582" s="7"/>
      <c r="Z582" s="7"/>
      <c r="AA582" s="7"/>
      <c r="AB582" s="7"/>
      <c r="AC582" s="7"/>
      <c r="AD582" s="7"/>
      <c r="AE582" s="132"/>
      <c r="AF582" s="132"/>
      <c r="AG582" s="113"/>
    </row>
    <row r="583" spans="2:33">
      <c r="B583" s="7"/>
      <c r="C583" s="7"/>
      <c r="D583" s="7"/>
      <c r="E583" s="7"/>
      <c r="F583" s="7"/>
      <c r="G583" s="7"/>
      <c r="H583" s="7"/>
      <c r="I583" s="7"/>
      <c r="J583" s="7"/>
      <c r="K583" s="7"/>
      <c r="L583" s="7"/>
      <c r="M583" s="7"/>
      <c r="N583" s="7"/>
      <c r="O583" s="7"/>
      <c r="P583" s="7"/>
      <c r="Q583" s="7"/>
      <c r="R583" s="7"/>
      <c r="S583" s="7"/>
      <c r="T583" s="7"/>
      <c r="U583" s="7"/>
      <c r="V583" s="7"/>
      <c r="W583" s="7"/>
      <c r="X583" s="7"/>
      <c r="Y583" s="7"/>
      <c r="Z583" s="7"/>
      <c r="AA583" s="7"/>
      <c r="AB583" s="7"/>
      <c r="AC583" s="7"/>
      <c r="AD583" s="7"/>
      <c r="AE583" s="132"/>
      <c r="AF583" s="132"/>
      <c r="AG583" s="113"/>
    </row>
    <row r="584" spans="2:33">
      <c r="B584" s="7"/>
      <c r="C584" s="7"/>
      <c r="D584" s="7"/>
      <c r="E584" s="7"/>
      <c r="F584" s="7"/>
      <c r="G584" s="7"/>
      <c r="H584" s="7"/>
      <c r="I584" s="7"/>
      <c r="J584" s="7"/>
      <c r="K584" s="7"/>
      <c r="L584" s="7"/>
      <c r="M584" s="7"/>
      <c r="N584" s="7"/>
      <c r="O584" s="7"/>
      <c r="P584" s="7"/>
      <c r="Q584" s="7"/>
      <c r="R584" s="7"/>
      <c r="S584" s="7"/>
      <c r="T584" s="7"/>
      <c r="U584" s="7"/>
      <c r="V584" s="7"/>
      <c r="W584" s="7"/>
      <c r="X584" s="7"/>
      <c r="Y584" s="7"/>
      <c r="Z584" s="7"/>
      <c r="AA584" s="7"/>
      <c r="AB584" s="7"/>
      <c r="AC584" s="7"/>
      <c r="AD584" s="7"/>
      <c r="AE584" s="132"/>
      <c r="AF584" s="132"/>
      <c r="AG584" s="113"/>
    </row>
    <row r="585" spans="2:33">
      <c r="B585" s="7"/>
      <c r="C585" s="7"/>
      <c r="D585" s="7"/>
      <c r="E585" s="7"/>
      <c r="F585" s="7"/>
      <c r="G585" s="7"/>
      <c r="H585" s="7"/>
      <c r="I585" s="7"/>
      <c r="J585" s="7"/>
      <c r="K585" s="7"/>
      <c r="L585" s="7"/>
      <c r="M585" s="7"/>
      <c r="N585" s="7"/>
      <c r="O585" s="7"/>
      <c r="P585" s="7"/>
      <c r="Q585" s="7"/>
      <c r="R585" s="7"/>
      <c r="S585" s="7"/>
      <c r="T585" s="7"/>
      <c r="U585" s="7"/>
      <c r="V585" s="7"/>
      <c r="W585" s="7"/>
      <c r="X585" s="7"/>
      <c r="Y585" s="7"/>
      <c r="Z585" s="7"/>
      <c r="AA585" s="7"/>
      <c r="AB585" s="7"/>
      <c r="AC585" s="7"/>
      <c r="AD585" s="7"/>
      <c r="AE585" s="132"/>
      <c r="AF585" s="132"/>
      <c r="AG585" s="113"/>
    </row>
    <row r="586" spans="2:33">
      <c r="B586" s="7"/>
      <c r="C586" s="7"/>
      <c r="D586" s="7"/>
      <c r="E586" s="7"/>
      <c r="F586" s="7"/>
      <c r="G586" s="7"/>
      <c r="H586" s="7"/>
      <c r="I586" s="7"/>
      <c r="J586" s="7"/>
      <c r="K586" s="7"/>
      <c r="L586" s="7"/>
      <c r="M586" s="7"/>
      <c r="N586" s="7"/>
      <c r="O586" s="7"/>
      <c r="P586" s="7"/>
      <c r="Q586" s="7"/>
      <c r="R586" s="7"/>
      <c r="S586" s="7"/>
      <c r="T586" s="7"/>
      <c r="U586" s="7"/>
      <c r="V586" s="7"/>
      <c r="W586" s="7"/>
      <c r="X586" s="7"/>
      <c r="Y586" s="7"/>
      <c r="Z586" s="7"/>
      <c r="AA586" s="7"/>
      <c r="AB586" s="7"/>
      <c r="AC586" s="7"/>
      <c r="AD586" s="7"/>
      <c r="AE586" s="132"/>
      <c r="AF586" s="132"/>
      <c r="AG586" s="113"/>
    </row>
    <row r="587" spans="2:33">
      <c r="B587" s="7"/>
      <c r="C587" s="7"/>
      <c r="D587" s="7"/>
      <c r="E587" s="7"/>
      <c r="F587" s="7"/>
      <c r="G587" s="7"/>
      <c r="H587" s="7"/>
      <c r="I587" s="7"/>
      <c r="J587" s="7"/>
      <c r="K587" s="7"/>
      <c r="L587" s="7"/>
      <c r="M587" s="7"/>
      <c r="N587" s="7"/>
      <c r="O587" s="7"/>
      <c r="P587" s="7"/>
      <c r="Q587" s="7"/>
      <c r="R587" s="7"/>
      <c r="S587" s="7"/>
      <c r="T587" s="7"/>
      <c r="U587" s="7"/>
      <c r="V587" s="7"/>
      <c r="W587" s="7"/>
      <c r="X587" s="7"/>
      <c r="Y587" s="7"/>
      <c r="Z587" s="7"/>
      <c r="AA587" s="7"/>
      <c r="AB587" s="7"/>
      <c r="AC587" s="7"/>
      <c r="AD587" s="7"/>
      <c r="AE587" s="132"/>
      <c r="AF587" s="132"/>
      <c r="AG587" s="113"/>
    </row>
    <row r="588" spans="2:33">
      <c r="B588" s="7"/>
      <c r="C588" s="7"/>
      <c r="D588" s="7"/>
      <c r="E588" s="7"/>
      <c r="F588" s="7"/>
      <c r="G588" s="7"/>
      <c r="H588" s="7"/>
      <c r="I588" s="7"/>
      <c r="J588" s="7"/>
      <c r="K588" s="7"/>
      <c r="L588" s="7"/>
      <c r="M588" s="7"/>
      <c r="N588" s="7"/>
      <c r="O588" s="7"/>
      <c r="P588" s="7"/>
      <c r="Q588" s="7"/>
      <c r="R588" s="7"/>
      <c r="S588" s="7"/>
      <c r="T588" s="7"/>
      <c r="U588" s="7"/>
      <c r="V588" s="7"/>
      <c r="W588" s="7"/>
      <c r="X588" s="7"/>
      <c r="Y588" s="7"/>
      <c r="Z588" s="7"/>
      <c r="AA588" s="7"/>
      <c r="AB588" s="7"/>
      <c r="AC588" s="7"/>
      <c r="AD588" s="7"/>
      <c r="AE588" s="132"/>
      <c r="AF588" s="132"/>
      <c r="AG588" s="113"/>
    </row>
    <row r="589" spans="2:33">
      <c r="B589" s="7"/>
      <c r="C589" s="7"/>
      <c r="D589" s="7"/>
      <c r="E589" s="7"/>
      <c r="F589" s="7"/>
      <c r="G589" s="7"/>
      <c r="H589" s="7"/>
      <c r="I589" s="7"/>
      <c r="J589" s="7"/>
      <c r="K589" s="7"/>
      <c r="L589" s="7"/>
      <c r="M589" s="7"/>
      <c r="N589" s="7"/>
      <c r="O589" s="7"/>
      <c r="P589" s="7"/>
      <c r="Q589" s="7"/>
      <c r="R589" s="7"/>
      <c r="S589" s="7"/>
      <c r="T589" s="7"/>
      <c r="U589" s="7"/>
      <c r="V589" s="7"/>
      <c r="W589" s="7"/>
      <c r="X589" s="7"/>
      <c r="Y589" s="7"/>
      <c r="Z589" s="7"/>
      <c r="AA589" s="7"/>
      <c r="AB589" s="7"/>
      <c r="AC589" s="7"/>
      <c r="AD589" s="7"/>
      <c r="AE589" s="132"/>
      <c r="AF589" s="132"/>
      <c r="AG589" s="113"/>
    </row>
    <row r="590" spans="2:33">
      <c r="B590" s="7"/>
      <c r="C590" s="7"/>
      <c r="D590" s="7"/>
      <c r="E590" s="7"/>
      <c r="F590" s="7"/>
      <c r="G590" s="7"/>
      <c r="H590" s="7"/>
      <c r="I590" s="7"/>
      <c r="J590" s="7"/>
      <c r="K590" s="7"/>
      <c r="L590" s="7"/>
      <c r="M590" s="7"/>
      <c r="N590" s="7"/>
      <c r="O590" s="7"/>
      <c r="P590" s="7"/>
      <c r="Q590" s="7"/>
      <c r="R590" s="7"/>
      <c r="S590" s="7"/>
      <c r="T590" s="7"/>
      <c r="U590" s="7"/>
      <c r="V590" s="7"/>
      <c r="W590" s="7"/>
      <c r="X590" s="7"/>
      <c r="Y590" s="7"/>
      <c r="Z590" s="7"/>
      <c r="AA590" s="7"/>
      <c r="AB590" s="7"/>
      <c r="AC590" s="7"/>
      <c r="AD590" s="7"/>
      <c r="AE590" s="132"/>
      <c r="AF590" s="132"/>
      <c r="AG590" s="113"/>
    </row>
    <row r="591" spans="2:33">
      <c r="B591" s="7"/>
      <c r="C591" s="7"/>
      <c r="D591" s="7"/>
      <c r="E591" s="7"/>
      <c r="F591" s="7"/>
      <c r="G591" s="7"/>
      <c r="H591" s="7"/>
      <c r="I591" s="7"/>
      <c r="J591" s="7"/>
      <c r="K591" s="7"/>
      <c r="L591" s="7"/>
      <c r="M591" s="7"/>
      <c r="N591" s="7"/>
      <c r="O591" s="7"/>
      <c r="P591" s="7"/>
      <c r="Q591" s="7"/>
      <c r="R591" s="7"/>
      <c r="S591" s="7"/>
      <c r="T591" s="7"/>
      <c r="U591" s="7"/>
      <c r="V591" s="7"/>
      <c r="W591" s="7"/>
      <c r="X591" s="7"/>
      <c r="Y591" s="7"/>
      <c r="Z591" s="7"/>
      <c r="AA591" s="7"/>
      <c r="AB591" s="7"/>
      <c r="AC591" s="7"/>
      <c r="AD591" s="7"/>
      <c r="AE591" s="132"/>
      <c r="AF591" s="132"/>
      <c r="AG591" s="113"/>
    </row>
    <row r="592" spans="2:33">
      <c r="B592" s="7"/>
      <c r="C592" s="7"/>
      <c r="D592" s="7"/>
      <c r="E592" s="7"/>
      <c r="F592" s="7"/>
      <c r="G592" s="7"/>
      <c r="H592" s="7"/>
      <c r="I592" s="7"/>
      <c r="J592" s="7"/>
      <c r="K592" s="7"/>
      <c r="L592" s="7"/>
      <c r="M592" s="7"/>
      <c r="N592" s="7"/>
      <c r="O592" s="7"/>
      <c r="P592" s="7"/>
      <c r="Q592" s="7"/>
      <c r="R592" s="7"/>
      <c r="S592" s="7"/>
      <c r="T592" s="7"/>
      <c r="U592" s="7"/>
      <c r="V592" s="7"/>
      <c r="W592" s="7"/>
      <c r="X592" s="7"/>
      <c r="Y592" s="7"/>
      <c r="Z592" s="7"/>
      <c r="AA592" s="7"/>
      <c r="AB592" s="7"/>
      <c r="AC592" s="7"/>
      <c r="AD592" s="7"/>
      <c r="AE592" s="132"/>
      <c r="AF592" s="132"/>
      <c r="AG592" s="113"/>
    </row>
    <row r="593" spans="2:33">
      <c r="B593" s="7"/>
      <c r="C593" s="7"/>
      <c r="D593" s="7"/>
      <c r="E593" s="7"/>
      <c r="F593" s="7"/>
      <c r="G593" s="7"/>
      <c r="H593" s="7"/>
      <c r="I593" s="7"/>
      <c r="J593" s="7"/>
      <c r="K593" s="7"/>
      <c r="L593" s="7"/>
      <c r="M593" s="7"/>
      <c r="N593" s="7"/>
      <c r="O593" s="7"/>
      <c r="P593" s="7"/>
      <c r="Q593" s="7"/>
      <c r="R593" s="7"/>
      <c r="S593" s="7"/>
      <c r="T593" s="7"/>
      <c r="U593" s="7"/>
      <c r="V593" s="7"/>
      <c r="W593" s="7"/>
      <c r="X593" s="7"/>
      <c r="Y593" s="7"/>
      <c r="Z593" s="7"/>
      <c r="AA593" s="7"/>
      <c r="AB593" s="7"/>
      <c r="AC593" s="7"/>
      <c r="AD593" s="7"/>
      <c r="AE593" s="132"/>
      <c r="AF593" s="132"/>
      <c r="AG593" s="113"/>
    </row>
    <row r="594" spans="2:33">
      <c r="B594" s="7"/>
      <c r="C594" s="7"/>
      <c r="D594" s="7"/>
      <c r="E594" s="7"/>
      <c r="F594" s="7"/>
      <c r="G594" s="7"/>
      <c r="H594" s="7"/>
      <c r="I594" s="7"/>
      <c r="J594" s="7"/>
      <c r="K594" s="7"/>
      <c r="L594" s="7"/>
      <c r="M594" s="7"/>
      <c r="N594" s="7"/>
      <c r="O594" s="7"/>
      <c r="P594" s="7"/>
      <c r="Q594" s="7"/>
      <c r="R594" s="7"/>
      <c r="S594" s="7"/>
      <c r="T594" s="7"/>
      <c r="U594" s="7"/>
      <c r="V594" s="7"/>
      <c r="W594" s="7"/>
      <c r="X594" s="7"/>
      <c r="Y594" s="7"/>
      <c r="Z594" s="7"/>
      <c r="AA594" s="7"/>
      <c r="AB594" s="7"/>
      <c r="AC594" s="7"/>
      <c r="AD594" s="7"/>
      <c r="AE594" s="132"/>
      <c r="AF594" s="132"/>
      <c r="AG594" s="113"/>
    </row>
    <row r="595" spans="2:33">
      <c r="B595" s="7"/>
      <c r="C595" s="7"/>
      <c r="D595" s="7"/>
      <c r="E595" s="7"/>
      <c r="F595" s="7"/>
      <c r="G595" s="7"/>
      <c r="H595" s="7"/>
      <c r="I595" s="7"/>
      <c r="J595" s="7"/>
      <c r="K595" s="7"/>
      <c r="L595" s="7"/>
      <c r="M595" s="7"/>
      <c r="N595" s="7"/>
      <c r="O595" s="7"/>
      <c r="P595" s="7"/>
      <c r="Q595" s="7"/>
      <c r="R595" s="7"/>
      <c r="S595" s="7"/>
      <c r="T595" s="7"/>
      <c r="U595" s="7"/>
      <c r="V595" s="7"/>
      <c r="W595" s="7"/>
      <c r="X595" s="7"/>
      <c r="Y595" s="7"/>
      <c r="Z595" s="7"/>
      <c r="AA595" s="7"/>
      <c r="AB595" s="7"/>
      <c r="AC595" s="7"/>
      <c r="AD595" s="7"/>
      <c r="AE595" s="132"/>
      <c r="AF595" s="132"/>
      <c r="AG595" s="113"/>
    </row>
    <row r="596" spans="2:33">
      <c r="B596" s="7"/>
      <c r="C596" s="7"/>
      <c r="D596" s="7"/>
      <c r="E596" s="7"/>
      <c r="F596" s="7"/>
      <c r="G596" s="7"/>
      <c r="H596" s="7"/>
      <c r="I596" s="7"/>
      <c r="J596" s="7"/>
      <c r="K596" s="7"/>
      <c r="L596" s="7"/>
      <c r="M596" s="7"/>
      <c r="N596" s="7"/>
      <c r="O596" s="7"/>
      <c r="P596" s="7"/>
      <c r="Q596" s="7"/>
      <c r="R596" s="7"/>
      <c r="S596" s="7"/>
      <c r="T596" s="7"/>
      <c r="U596" s="7"/>
      <c r="V596" s="7"/>
      <c r="W596" s="7"/>
      <c r="X596" s="7"/>
      <c r="Y596" s="7"/>
      <c r="Z596" s="7"/>
      <c r="AA596" s="7"/>
      <c r="AB596" s="7"/>
      <c r="AC596" s="7"/>
      <c r="AD596" s="7"/>
      <c r="AE596" s="132"/>
      <c r="AF596" s="132"/>
      <c r="AG596" s="113"/>
    </row>
    <row r="597" spans="2:33">
      <c r="B597" s="7"/>
      <c r="C597" s="7"/>
      <c r="D597" s="7"/>
      <c r="E597" s="7"/>
      <c r="F597" s="7"/>
      <c r="G597" s="7"/>
      <c r="H597" s="7"/>
      <c r="I597" s="7"/>
      <c r="J597" s="7"/>
      <c r="K597" s="7"/>
      <c r="L597" s="7"/>
      <c r="M597" s="7"/>
      <c r="N597" s="7"/>
      <c r="O597" s="7"/>
      <c r="P597" s="7"/>
      <c r="Q597" s="7"/>
      <c r="R597" s="7"/>
      <c r="S597" s="7"/>
      <c r="T597" s="7"/>
      <c r="U597" s="7"/>
      <c r="V597" s="7"/>
      <c r="W597" s="7"/>
      <c r="X597" s="7"/>
      <c r="Y597" s="7"/>
      <c r="Z597" s="7"/>
      <c r="AA597" s="7"/>
      <c r="AB597" s="7"/>
      <c r="AC597" s="7"/>
      <c r="AD597" s="7"/>
      <c r="AE597" s="132"/>
      <c r="AF597" s="132"/>
      <c r="AG597" s="113"/>
    </row>
    <row r="598" spans="2:33">
      <c r="B598" s="7"/>
      <c r="C598" s="7"/>
      <c r="D598" s="7"/>
      <c r="E598" s="7"/>
      <c r="F598" s="7"/>
      <c r="G598" s="7"/>
      <c r="H598" s="7"/>
      <c r="I598" s="7"/>
      <c r="J598" s="7"/>
      <c r="K598" s="7"/>
      <c r="L598" s="7"/>
      <c r="M598" s="7"/>
      <c r="N598" s="7"/>
      <c r="O598" s="7"/>
      <c r="P598" s="7"/>
      <c r="Q598" s="7"/>
      <c r="R598" s="7"/>
      <c r="S598" s="7"/>
      <c r="T598" s="7"/>
      <c r="U598" s="7"/>
      <c r="V598" s="7"/>
      <c r="W598" s="7"/>
      <c r="X598" s="7"/>
      <c r="Y598" s="7"/>
      <c r="Z598" s="7"/>
      <c r="AA598" s="7"/>
      <c r="AB598" s="7"/>
      <c r="AC598" s="7"/>
      <c r="AD598" s="7"/>
      <c r="AE598" s="132"/>
      <c r="AF598" s="132"/>
      <c r="AG598" s="113"/>
    </row>
    <row r="599" spans="2:33">
      <c r="B599" s="7"/>
      <c r="C599" s="7"/>
      <c r="D599" s="7"/>
      <c r="E599" s="7"/>
      <c r="F599" s="7"/>
      <c r="G599" s="7"/>
      <c r="H599" s="7"/>
      <c r="I599" s="7"/>
      <c r="J599" s="7"/>
      <c r="K599" s="7"/>
      <c r="L599" s="7"/>
      <c r="M599" s="7"/>
      <c r="N599" s="7"/>
      <c r="O599" s="7"/>
      <c r="P599" s="7"/>
      <c r="Q599" s="7"/>
      <c r="R599" s="7"/>
      <c r="S599" s="7"/>
      <c r="T599" s="7"/>
      <c r="U599" s="7"/>
      <c r="V599" s="7"/>
      <c r="W599" s="7"/>
      <c r="X599" s="7"/>
      <c r="Y599" s="7"/>
      <c r="Z599" s="7"/>
      <c r="AA599" s="7"/>
      <c r="AB599" s="7"/>
      <c r="AC599" s="7"/>
      <c r="AD599" s="7"/>
      <c r="AE599" s="132"/>
      <c r="AF599" s="132"/>
      <c r="AG599" s="113"/>
    </row>
    <row r="600" spans="2:33">
      <c r="B600" s="7"/>
      <c r="C600" s="7"/>
      <c r="D600" s="7"/>
      <c r="E600" s="7"/>
      <c r="F600" s="7"/>
      <c r="G600" s="7"/>
      <c r="H600" s="7"/>
      <c r="I600" s="7"/>
      <c r="J600" s="7"/>
      <c r="K600" s="7"/>
      <c r="L600" s="7"/>
      <c r="M600" s="7"/>
      <c r="N600" s="7"/>
      <c r="O600" s="7"/>
      <c r="P600" s="7"/>
      <c r="Q600" s="7"/>
      <c r="R600" s="7"/>
      <c r="S600" s="7"/>
      <c r="T600" s="7"/>
      <c r="U600" s="7"/>
      <c r="V600" s="7"/>
      <c r="W600" s="7"/>
      <c r="X600" s="7"/>
      <c r="Y600" s="7"/>
      <c r="Z600" s="7"/>
      <c r="AA600" s="7"/>
      <c r="AB600" s="7"/>
      <c r="AC600" s="7"/>
      <c r="AD600" s="7"/>
      <c r="AE600" s="132"/>
      <c r="AF600" s="132"/>
      <c r="AG600" s="113"/>
    </row>
    <row r="601" spans="2:33">
      <c r="B601" s="7"/>
      <c r="C601" s="7"/>
      <c r="D601" s="7"/>
      <c r="E601" s="7"/>
      <c r="F601" s="7"/>
      <c r="G601" s="7"/>
      <c r="H601" s="7"/>
      <c r="I601" s="7"/>
      <c r="J601" s="7"/>
      <c r="K601" s="7"/>
      <c r="L601" s="7"/>
      <c r="M601" s="7"/>
      <c r="N601" s="7"/>
      <c r="O601" s="7"/>
      <c r="P601" s="7"/>
      <c r="Q601" s="7"/>
      <c r="R601" s="7"/>
      <c r="S601" s="7"/>
      <c r="T601" s="7"/>
      <c r="U601" s="7"/>
      <c r="V601" s="7"/>
      <c r="W601" s="7"/>
      <c r="X601" s="7"/>
      <c r="Y601" s="7"/>
      <c r="Z601" s="7"/>
      <c r="AA601" s="7"/>
      <c r="AB601" s="7"/>
      <c r="AC601" s="7"/>
      <c r="AD601" s="7"/>
      <c r="AE601" s="132"/>
      <c r="AF601" s="132"/>
      <c r="AG601" s="113"/>
    </row>
    <row r="602" spans="2:33">
      <c r="B602" s="7"/>
      <c r="C602" s="7"/>
      <c r="D602" s="7"/>
      <c r="E602" s="7"/>
      <c r="F602" s="7"/>
      <c r="G602" s="7"/>
      <c r="H602" s="7"/>
      <c r="I602" s="7"/>
      <c r="J602" s="7"/>
      <c r="K602" s="7"/>
      <c r="L602" s="7"/>
      <c r="M602" s="7"/>
      <c r="N602" s="7"/>
      <c r="O602" s="7"/>
      <c r="P602" s="7"/>
      <c r="Q602" s="7"/>
      <c r="R602" s="7"/>
      <c r="S602" s="7"/>
      <c r="T602" s="7"/>
      <c r="U602" s="7"/>
      <c r="V602" s="7"/>
      <c r="W602" s="7"/>
      <c r="X602" s="7"/>
      <c r="Y602" s="7"/>
      <c r="Z602" s="7"/>
      <c r="AA602" s="7"/>
      <c r="AB602" s="7"/>
      <c r="AC602" s="7"/>
      <c r="AD602" s="7"/>
      <c r="AE602" s="132"/>
      <c r="AF602" s="132"/>
      <c r="AG602" s="113"/>
    </row>
    <row r="603" spans="2:33">
      <c r="B603" s="7"/>
      <c r="C603" s="7"/>
      <c r="D603" s="7"/>
      <c r="E603" s="7"/>
      <c r="F603" s="7"/>
      <c r="G603" s="7"/>
      <c r="H603" s="7"/>
      <c r="I603" s="7"/>
      <c r="J603" s="7"/>
      <c r="K603" s="7"/>
      <c r="L603" s="7"/>
      <c r="M603" s="7"/>
      <c r="N603" s="7"/>
      <c r="O603" s="7"/>
      <c r="P603" s="7"/>
      <c r="Q603" s="7"/>
      <c r="R603" s="7"/>
      <c r="S603" s="7"/>
      <c r="T603" s="7"/>
      <c r="U603" s="7"/>
      <c r="V603" s="7"/>
      <c r="W603" s="7"/>
      <c r="X603" s="7"/>
      <c r="Y603" s="7"/>
      <c r="Z603" s="7"/>
      <c r="AA603" s="7"/>
      <c r="AB603" s="7"/>
      <c r="AC603" s="7"/>
      <c r="AD603" s="7"/>
      <c r="AE603" s="132"/>
      <c r="AF603" s="132"/>
      <c r="AG603" s="113"/>
    </row>
    <row r="604" spans="2:33">
      <c r="B604" s="7"/>
      <c r="C604" s="7"/>
      <c r="D604" s="7"/>
      <c r="E604" s="7"/>
      <c r="F604" s="7"/>
      <c r="G604" s="7"/>
      <c r="H604" s="7"/>
      <c r="I604" s="7"/>
      <c r="J604" s="7"/>
      <c r="K604" s="7"/>
      <c r="L604" s="7"/>
      <c r="M604" s="7"/>
      <c r="N604" s="7"/>
      <c r="O604" s="7"/>
      <c r="P604" s="7"/>
      <c r="Q604" s="7"/>
      <c r="R604" s="7"/>
      <c r="S604" s="7"/>
      <c r="T604" s="7"/>
      <c r="U604" s="7"/>
      <c r="V604" s="7"/>
      <c r="W604" s="7"/>
      <c r="X604" s="7"/>
      <c r="Y604" s="7"/>
      <c r="Z604" s="7"/>
      <c r="AA604" s="7"/>
      <c r="AB604" s="7"/>
      <c r="AC604" s="7"/>
      <c r="AD604" s="7"/>
      <c r="AE604" s="132"/>
      <c r="AF604" s="132"/>
      <c r="AG604" s="113"/>
    </row>
    <row r="605" spans="2:33">
      <c r="B605" s="7"/>
      <c r="C605" s="7"/>
      <c r="D605" s="7"/>
      <c r="E605" s="7"/>
      <c r="F605" s="7"/>
      <c r="G605" s="7"/>
      <c r="H605" s="7"/>
      <c r="I605" s="7"/>
      <c r="J605" s="7"/>
      <c r="K605" s="7"/>
      <c r="L605" s="7"/>
      <c r="M605" s="7"/>
      <c r="N605" s="7"/>
      <c r="O605" s="7"/>
      <c r="P605" s="7"/>
      <c r="Q605" s="7"/>
      <c r="R605" s="7"/>
      <c r="S605" s="7"/>
      <c r="T605" s="7"/>
      <c r="U605" s="7"/>
      <c r="V605" s="7"/>
      <c r="W605" s="7"/>
      <c r="X605" s="7"/>
      <c r="Y605" s="7"/>
      <c r="Z605" s="7"/>
      <c r="AA605" s="7"/>
      <c r="AB605" s="7"/>
      <c r="AC605" s="7"/>
      <c r="AD605" s="7"/>
      <c r="AE605" s="132"/>
      <c r="AF605" s="132"/>
      <c r="AG605" s="113"/>
    </row>
    <row r="606" spans="2:33">
      <c r="B606" s="7"/>
      <c r="C606" s="7"/>
      <c r="D606" s="7"/>
      <c r="E606" s="7"/>
      <c r="F606" s="7"/>
      <c r="G606" s="7"/>
      <c r="H606" s="7"/>
      <c r="I606" s="7"/>
      <c r="J606" s="7"/>
      <c r="K606" s="7"/>
      <c r="L606" s="7"/>
      <c r="M606" s="7"/>
      <c r="N606" s="7"/>
      <c r="O606" s="7"/>
      <c r="P606" s="7"/>
      <c r="Q606" s="7"/>
      <c r="R606" s="7"/>
      <c r="S606" s="7"/>
      <c r="T606" s="7"/>
      <c r="U606" s="7"/>
      <c r="V606" s="7"/>
      <c r="W606" s="7"/>
      <c r="X606" s="7"/>
      <c r="Y606" s="7"/>
      <c r="Z606" s="7"/>
      <c r="AA606" s="7"/>
      <c r="AB606" s="7"/>
      <c r="AC606" s="7"/>
      <c r="AD606" s="7"/>
      <c r="AE606" s="132"/>
      <c r="AF606" s="132"/>
      <c r="AG606" s="113"/>
    </row>
    <row r="607" spans="2:33">
      <c r="B607" s="7"/>
      <c r="C607" s="7"/>
      <c r="D607" s="7"/>
      <c r="E607" s="7"/>
      <c r="F607" s="7"/>
      <c r="G607" s="7"/>
      <c r="H607" s="7"/>
      <c r="I607" s="7"/>
      <c r="J607" s="7"/>
      <c r="K607" s="7"/>
      <c r="L607" s="7"/>
      <c r="M607" s="7"/>
      <c r="N607" s="7"/>
      <c r="O607" s="7"/>
      <c r="P607" s="7"/>
      <c r="Q607" s="7"/>
      <c r="R607" s="7"/>
      <c r="S607" s="7"/>
      <c r="T607" s="7"/>
      <c r="U607" s="7"/>
      <c r="V607" s="7"/>
      <c r="W607" s="7"/>
      <c r="X607" s="7"/>
      <c r="Y607" s="7"/>
      <c r="Z607" s="7"/>
      <c r="AA607" s="7"/>
      <c r="AB607" s="7"/>
      <c r="AC607" s="7"/>
      <c r="AD607" s="7"/>
      <c r="AE607" s="132"/>
      <c r="AF607" s="132"/>
      <c r="AG607" s="113"/>
    </row>
    <row r="608" spans="2:33">
      <c r="B608" s="7"/>
      <c r="C608" s="7"/>
      <c r="D608" s="7"/>
      <c r="E608" s="7"/>
      <c r="F608" s="7"/>
      <c r="G608" s="7"/>
      <c r="H608" s="7"/>
      <c r="I608" s="7"/>
      <c r="J608" s="7"/>
      <c r="K608" s="7"/>
      <c r="L608" s="7"/>
      <c r="M608" s="7"/>
      <c r="N608" s="7"/>
      <c r="O608" s="7"/>
      <c r="P608" s="7"/>
      <c r="Q608" s="7"/>
      <c r="R608" s="7"/>
      <c r="S608" s="7"/>
      <c r="T608" s="7"/>
      <c r="U608" s="7"/>
      <c r="V608" s="7"/>
      <c r="W608" s="7"/>
      <c r="X608" s="7"/>
      <c r="Y608" s="7"/>
      <c r="Z608" s="7"/>
      <c r="AA608" s="7"/>
      <c r="AB608" s="7"/>
      <c r="AC608" s="7"/>
      <c r="AD608" s="7"/>
      <c r="AE608" s="132"/>
      <c r="AF608" s="132"/>
      <c r="AG608" s="113"/>
    </row>
    <row r="609" spans="2:33">
      <c r="B609" s="7"/>
      <c r="C609" s="7"/>
      <c r="D609" s="7"/>
      <c r="E609" s="7"/>
      <c r="F609" s="7"/>
      <c r="G609" s="7"/>
      <c r="H609" s="7"/>
      <c r="I609" s="7"/>
      <c r="J609" s="7"/>
      <c r="K609" s="7"/>
      <c r="L609" s="7"/>
      <c r="M609" s="7"/>
      <c r="N609" s="7"/>
      <c r="O609" s="7"/>
      <c r="P609" s="7"/>
      <c r="Q609" s="7"/>
      <c r="R609" s="7"/>
      <c r="S609" s="7"/>
      <c r="T609" s="7"/>
      <c r="U609" s="7"/>
      <c r="V609" s="7"/>
      <c r="W609" s="7"/>
      <c r="X609" s="7"/>
      <c r="Y609" s="7"/>
      <c r="Z609" s="7"/>
      <c r="AA609" s="7"/>
      <c r="AB609" s="7"/>
      <c r="AC609" s="7"/>
      <c r="AD609" s="7"/>
      <c r="AE609" s="132"/>
      <c r="AF609" s="132"/>
      <c r="AG609" s="113"/>
    </row>
    <row r="610" spans="2:33">
      <c r="B610" s="7"/>
      <c r="C610" s="7"/>
      <c r="D610" s="7"/>
      <c r="E610" s="7"/>
      <c r="F610" s="7"/>
      <c r="G610" s="7"/>
      <c r="H610" s="7"/>
      <c r="I610" s="7"/>
      <c r="J610" s="7"/>
      <c r="K610" s="7"/>
      <c r="L610" s="7"/>
      <c r="M610" s="7"/>
      <c r="N610" s="7"/>
      <c r="O610" s="7"/>
      <c r="P610" s="7"/>
      <c r="Q610" s="7"/>
      <c r="R610" s="7"/>
      <c r="S610" s="7"/>
      <c r="T610" s="7"/>
      <c r="U610" s="7"/>
      <c r="V610" s="7"/>
      <c r="W610" s="7"/>
      <c r="X610" s="7"/>
      <c r="Y610" s="7"/>
      <c r="Z610" s="7"/>
      <c r="AA610" s="7"/>
      <c r="AB610" s="7"/>
      <c r="AC610" s="7"/>
      <c r="AD610" s="7"/>
      <c r="AE610" s="132"/>
      <c r="AF610" s="132"/>
      <c r="AG610" s="113"/>
    </row>
    <row r="611" spans="2:33">
      <c r="B611" s="7"/>
      <c r="C611" s="7"/>
      <c r="D611" s="7"/>
      <c r="E611" s="7"/>
      <c r="F611" s="7"/>
      <c r="G611" s="7"/>
      <c r="H611" s="7"/>
      <c r="I611" s="7"/>
      <c r="J611" s="7"/>
      <c r="K611" s="7"/>
      <c r="L611" s="7"/>
      <c r="M611" s="7"/>
      <c r="N611" s="7"/>
      <c r="O611" s="7"/>
      <c r="P611" s="7"/>
      <c r="Q611" s="7"/>
      <c r="R611" s="7"/>
      <c r="S611" s="7"/>
      <c r="T611" s="7"/>
      <c r="U611" s="7"/>
      <c r="V611" s="7"/>
      <c r="W611" s="7"/>
      <c r="X611" s="7"/>
      <c r="Y611" s="7"/>
      <c r="Z611" s="7"/>
      <c r="AA611" s="7"/>
      <c r="AB611" s="7"/>
      <c r="AC611" s="7"/>
      <c r="AD611" s="7"/>
      <c r="AE611" s="132"/>
      <c r="AF611" s="132"/>
      <c r="AG611" s="113"/>
    </row>
    <row r="612" spans="2:33">
      <c r="B612" s="7"/>
      <c r="C612" s="7"/>
      <c r="D612" s="7"/>
      <c r="E612" s="7"/>
      <c r="F612" s="7"/>
      <c r="G612" s="7"/>
      <c r="H612" s="7"/>
      <c r="I612" s="7"/>
      <c r="J612" s="7"/>
      <c r="K612" s="7"/>
      <c r="L612" s="7"/>
      <c r="M612" s="7"/>
      <c r="N612" s="7"/>
      <c r="O612" s="7"/>
      <c r="P612" s="7"/>
      <c r="Q612" s="7"/>
      <c r="R612" s="7"/>
      <c r="S612" s="7"/>
      <c r="T612" s="7"/>
      <c r="U612" s="7"/>
      <c r="V612" s="7"/>
      <c r="W612" s="7"/>
      <c r="X612" s="7"/>
      <c r="Y612" s="7"/>
      <c r="Z612" s="7"/>
      <c r="AA612" s="7"/>
      <c r="AB612" s="7"/>
      <c r="AC612" s="7"/>
      <c r="AD612" s="7"/>
      <c r="AE612" s="132"/>
      <c r="AF612" s="132"/>
      <c r="AG612" s="113"/>
    </row>
    <row r="613" spans="2:33">
      <c r="B613" s="7"/>
      <c r="C613" s="7"/>
      <c r="D613" s="7"/>
      <c r="E613" s="7"/>
      <c r="F613" s="7"/>
      <c r="G613" s="7"/>
      <c r="H613" s="7"/>
      <c r="I613" s="7"/>
      <c r="J613" s="7"/>
      <c r="K613" s="7"/>
      <c r="L613" s="7"/>
      <c r="M613" s="7"/>
      <c r="N613" s="7"/>
      <c r="O613" s="7"/>
      <c r="P613" s="7"/>
      <c r="Q613" s="7"/>
      <c r="R613" s="7"/>
      <c r="S613" s="7"/>
      <c r="T613" s="7"/>
      <c r="U613" s="7"/>
      <c r="V613" s="7"/>
      <c r="W613" s="7"/>
      <c r="X613" s="7"/>
      <c r="Y613" s="7"/>
      <c r="Z613" s="7"/>
      <c r="AA613" s="7"/>
      <c r="AB613" s="7"/>
      <c r="AC613" s="7"/>
      <c r="AD613" s="7"/>
      <c r="AE613" s="132"/>
      <c r="AF613" s="132"/>
      <c r="AG613" s="113"/>
    </row>
    <row r="614" spans="2:33">
      <c r="B614" s="7"/>
      <c r="C614" s="7"/>
      <c r="D614" s="7"/>
      <c r="E614" s="7"/>
      <c r="F614" s="7"/>
      <c r="G614" s="7"/>
      <c r="H614" s="7"/>
      <c r="I614" s="7"/>
      <c r="J614" s="7"/>
      <c r="K614" s="7"/>
      <c r="L614" s="7"/>
      <c r="M614" s="7"/>
      <c r="N614" s="7"/>
      <c r="O614" s="7"/>
      <c r="P614" s="7"/>
      <c r="Q614" s="7"/>
      <c r="R614" s="7"/>
      <c r="S614" s="7"/>
      <c r="T614" s="7"/>
      <c r="U614" s="7"/>
      <c r="V614" s="7"/>
      <c r="W614" s="7"/>
      <c r="X614" s="7"/>
      <c r="Y614" s="7"/>
      <c r="Z614" s="7"/>
      <c r="AA614" s="7"/>
      <c r="AB614" s="7"/>
      <c r="AC614" s="7"/>
      <c r="AD614" s="7"/>
      <c r="AE614" s="132"/>
      <c r="AF614" s="132"/>
      <c r="AG614" s="113"/>
    </row>
    <row r="615" spans="2:33">
      <c r="B615" s="7"/>
      <c r="C615" s="7"/>
      <c r="D615" s="7"/>
      <c r="E615" s="7"/>
      <c r="F615" s="7"/>
      <c r="G615" s="7"/>
      <c r="H615" s="7"/>
      <c r="I615" s="7"/>
      <c r="J615" s="7"/>
      <c r="K615" s="7"/>
      <c r="L615" s="7"/>
      <c r="M615" s="7"/>
      <c r="N615" s="7"/>
      <c r="O615" s="7"/>
      <c r="P615" s="7"/>
      <c r="Q615" s="7"/>
      <c r="R615" s="7"/>
      <c r="S615" s="7"/>
      <c r="T615" s="7"/>
      <c r="U615" s="7"/>
      <c r="V615" s="7"/>
      <c r="W615" s="7"/>
      <c r="X615" s="7"/>
      <c r="Y615" s="7"/>
      <c r="Z615" s="7"/>
      <c r="AA615" s="7"/>
      <c r="AB615" s="7"/>
      <c r="AC615" s="7"/>
      <c r="AD615" s="7"/>
      <c r="AE615" s="132"/>
      <c r="AF615" s="132"/>
      <c r="AG615" s="113"/>
    </row>
    <row r="616" spans="2:33">
      <c r="B616" s="7"/>
      <c r="C616" s="7"/>
      <c r="D616" s="7"/>
      <c r="E616" s="7"/>
      <c r="F616" s="7"/>
      <c r="G616" s="7"/>
      <c r="H616" s="7"/>
      <c r="I616" s="7"/>
      <c r="J616" s="7"/>
      <c r="K616" s="7"/>
      <c r="L616" s="7"/>
      <c r="M616" s="7"/>
      <c r="N616" s="7"/>
      <c r="O616" s="7"/>
      <c r="P616" s="7"/>
      <c r="Q616" s="7"/>
      <c r="R616" s="7"/>
      <c r="S616" s="7"/>
      <c r="T616" s="7"/>
      <c r="U616" s="7"/>
      <c r="V616" s="7"/>
      <c r="W616" s="7"/>
      <c r="X616" s="7"/>
      <c r="Y616" s="7"/>
      <c r="Z616" s="7"/>
      <c r="AA616" s="7"/>
      <c r="AB616" s="7"/>
      <c r="AC616" s="7"/>
      <c r="AD616" s="7"/>
      <c r="AE616" s="132"/>
      <c r="AF616" s="132"/>
      <c r="AG616" s="113"/>
    </row>
    <row r="617" spans="2:33">
      <c r="B617" s="7"/>
      <c r="C617" s="7"/>
      <c r="D617" s="7"/>
      <c r="E617" s="7"/>
      <c r="F617" s="7"/>
      <c r="G617" s="7"/>
      <c r="H617" s="7"/>
      <c r="I617" s="7"/>
      <c r="J617" s="7"/>
      <c r="K617" s="7"/>
      <c r="L617" s="7"/>
      <c r="M617" s="7"/>
      <c r="N617" s="7"/>
      <c r="O617" s="7"/>
      <c r="P617" s="7"/>
      <c r="Q617" s="7"/>
      <c r="R617" s="7"/>
      <c r="S617" s="7"/>
      <c r="T617" s="7"/>
      <c r="U617" s="7"/>
      <c r="V617" s="7"/>
      <c r="W617" s="7"/>
      <c r="X617" s="7"/>
      <c r="Y617" s="7"/>
      <c r="Z617" s="7"/>
      <c r="AA617" s="7"/>
      <c r="AB617" s="7"/>
      <c r="AC617" s="7"/>
      <c r="AD617" s="7"/>
      <c r="AE617" s="132"/>
      <c r="AF617" s="132"/>
      <c r="AG617" s="113"/>
    </row>
    <row r="618" spans="2:33">
      <c r="B618" s="7"/>
      <c r="C618" s="7"/>
      <c r="D618" s="7"/>
      <c r="E618" s="7"/>
      <c r="F618" s="7"/>
      <c r="G618" s="7"/>
      <c r="H618" s="7"/>
      <c r="I618" s="7"/>
      <c r="J618" s="7"/>
      <c r="K618" s="7"/>
      <c r="L618" s="7"/>
      <c r="M618" s="7"/>
      <c r="N618" s="7"/>
      <c r="O618" s="7"/>
      <c r="P618" s="7"/>
      <c r="Q618" s="7"/>
      <c r="R618" s="7"/>
      <c r="S618" s="7"/>
      <c r="T618" s="7"/>
      <c r="U618" s="7"/>
      <c r="V618" s="7"/>
      <c r="W618" s="7"/>
      <c r="X618" s="7"/>
      <c r="Y618" s="7"/>
      <c r="Z618" s="7"/>
      <c r="AA618" s="7"/>
      <c r="AB618" s="7"/>
      <c r="AC618" s="7"/>
      <c r="AD618" s="7"/>
      <c r="AE618" s="132"/>
      <c r="AF618" s="132"/>
      <c r="AG618" s="113"/>
    </row>
    <row r="619" spans="2:33">
      <c r="B619" s="7"/>
      <c r="C619" s="7"/>
      <c r="D619" s="7"/>
      <c r="E619" s="7"/>
      <c r="F619" s="7"/>
      <c r="G619" s="7"/>
      <c r="H619" s="7"/>
      <c r="I619" s="7"/>
      <c r="J619" s="7"/>
      <c r="K619" s="7"/>
      <c r="L619" s="7"/>
      <c r="M619" s="7"/>
      <c r="N619" s="7"/>
      <c r="O619" s="7"/>
      <c r="P619" s="7"/>
      <c r="Q619" s="7"/>
      <c r="R619" s="7"/>
      <c r="S619" s="7"/>
      <c r="T619" s="7"/>
      <c r="U619" s="7"/>
      <c r="V619" s="7"/>
      <c r="W619" s="7"/>
      <c r="X619" s="7"/>
      <c r="Y619" s="7"/>
      <c r="Z619" s="7"/>
      <c r="AA619" s="7"/>
      <c r="AB619" s="7"/>
      <c r="AC619" s="7"/>
      <c r="AD619" s="7"/>
      <c r="AE619" s="132"/>
      <c r="AF619" s="132"/>
      <c r="AG619" s="113"/>
    </row>
    <row r="620" spans="2:33">
      <c r="B620" s="7"/>
      <c r="C620" s="7"/>
      <c r="D620" s="7"/>
      <c r="E620" s="7"/>
      <c r="F620" s="7"/>
      <c r="G620" s="7"/>
      <c r="H620" s="7"/>
      <c r="I620" s="7"/>
      <c r="J620" s="7"/>
      <c r="K620" s="7"/>
      <c r="L620" s="7"/>
      <c r="M620" s="7"/>
      <c r="N620" s="7"/>
      <c r="O620" s="7"/>
      <c r="P620" s="7"/>
      <c r="Q620" s="7"/>
      <c r="R620" s="7"/>
      <c r="S620" s="7"/>
      <c r="T620" s="7"/>
      <c r="U620" s="7"/>
      <c r="V620" s="7"/>
      <c r="W620" s="7"/>
      <c r="X620" s="7"/>
      <c r="Y620" s="7"/>
      <c r="Z620" s="7"/>
      <c r="AA620" s="7"/>
      <c r="AB620" s="7"/>
      <c r="AC620" s="7"/>
      <c r="AD620" s="7"/>
      <c r="AE620" s="132"/>
      <c r="AF620" s="132"/>
      <c r="AG620" s="113"/>
    </row>
    <row r="621" spans="2:33">
      <c r="B621" s="7"/>
      <c r="C621" s="7"/>
      <c r="D621" s="7"/>
      <c r="E621" s="7"/>
      <c r="F621" s="7"/>
      <c r="G621" s="7"/>
      <c r="H621" s="7"/>
      <c r="I621" s="7"/>
      <c r="J621" s="7"/>
      <c r="K621" s="7"/>
      <c r="L621" s="7"/>
      <c r="M621" s="7"/>
      <c r="N621" s="7"/>
      <c r="O621" s="7"/>
      <c r="P621" s="7"/>
      <c r="Q621" s="7"/>
      <c r="R621" s="7"/>
      <c r="S621" s="7"/>
      <c r="T621" s="7"/>
      <c r="U621" s="7"/>
      <c r="V621" s="7"/>
      <c r="W621" s="7"/>
      <c r="X621" s="7"/>
      <c r="Y621" s="7"/>
      <c r="Z621" s="7"/>
      <c r="AA621" s="7"/>
      <c r="AB621" s="7"/>
      <c r="AC621" s="7"/>
      <c r="AD621" s="7"/>
      <c r="AE621" s="132"/>
      <c r="AF621" s="132"/>
      <c r="AG621" s="113"/>
    </row>
    <row r="622" spans="2:33">
      <c r="B622" s="7"/>
      <c r="C622" s="7"/>
      <c r="D622" s="7"/>
      <c r="E622" s="7"/>
      <c r="F622" s="7"/>
      <c r="G622" s="7"/>
      <c r="H622" s="7"/>
      <c r="I622" s="7"/>
      <c r="J622" s="7"/>
      <c r="K622" s="7"/>
      <c r="L622" s="7"/>
      <c r="M622" s="7"/>
      <c r="N622" s="7"/>
      <c r="O622" s="7"/>
      <c r="P622" s="7"/>
      <c r="Q622" s="7"/>
      <c r="R622" s="7"/>
      <c r="S622" s="7"/>
      <c r="T622" s="7"/>
      <c r="U622" s="7"/>
      <c r="V622" s="7"/>
      <c r="W622" s="7"/>
      <c r="X622" s="7"/>
      <c r="Y622" s="7"/>
      <c r="Z622" s="7"/>
      <c r="AA622" s="7"/>
      <c r="AB622" s="7"/>
      <c r="AC622" s="7"/>
      <c r="AD622" s="7"/>
      <c r="AE622" s="132"/>
      <c r="AF622" s="132"/>
      <c r="AG622" s="113"/>
    </row>
    <row r="623" spans="2:33">
      <c r="B623" s="7"/>
      <c r="C623" s="7"/>
      <c r="D623" s="7"/>
      <c r="E623" s="7"/>
      <c r="F623" s="7"/>
      <c r="G623" s="7"/>
      <c r="H623" s="7"/>
      <c r="I623" s="7"/>
      <c r="J623" s="7"/>
      <c r="K623" s="7"/>
      <c r="L623" s="7"/>
      <c r="M623" s="7"/>
      <c r="N623" s="7"/>
      <c r="O623" s="7"/>
      <c r="P623" s="7"/>
      <c r="Q623" s="7"/>
      <c r="R623" s="7"/>
      <c r="S623" s="7"/>
      <c r="T623" s="7"/>
      <c r="U623" s="7"/>
      <c r="V623" s="7"/>
      <c r="W623" s="7"/>
      <c r="X623" s="7"/>
      <c r="Y623" s="7"/>
      <c r="Z623" s="7"/>
      <c r="AA623" s="7"/>
      <c r="AB623" s="7"/>
      <c r="AC623" s="7"/>
      <c r="AD623" s="7"/>
      <c r="AE623" s="132"/>
      <c r="AF623" s="132"/>
      <c r="AG623" s="113"/>
    </row>
    <row r="624" spans="2:33">
      <c r="B624" s="7"/>
      <c r="C624" s="7"/>
      <c r="D624" s="7"/>
      <c r="E624" s="7"/>
      <c r="F624" s="7"/>
      <c r="G624" s="7"/>
      <c r="H624" s="7"/>
      <c r="I624" s="7"/>
      <c r="J624" s="7"/>
      <c r="K624" s="7"/>
      <c r="L624" s="7"/>
      <c r="M624" s="7"/>
      <c r="N624" s="7"/>
      <c r="O624" s="7"/>
      <c r="P624" s="7"/>
      <c r="Q624" s="7"/>
      <c r="R624" s="7"/>
      <c r="S624" s="7"/>
      <c r="T624" s="7"/>
      <c r="U624" s="7"/>
      <c r="V624" s="7"/>
      <c r="W624" s="7"/>
      <c r="X624" s="7"/>
      <c r="Y624" s="7"/>
      <c r="Z624" s="7"/>
      <c r="AA624" s="7"/>
      <c r="AB624" s="7"/>
      <c r="AC624" s="7"/>
      <c r="AD624" s="7"/>
      <c r="AE624" s="132"/>
      <c r="AF624" s="132"/>
      <c r="AG624" s="113"/>
    </row>
    <row r="625" spans="2:33">
      <c r="B625" s="7"/>
      <c r="C625" s="7"/>
      <c r="D625" s="7"/>
      <c r="E625" s="7"/>
      <c r="F625" s="7"/>
      <c r="G625" s="7"/>
      <c r="H625" s="7"/>
      <c r="I625" s="7"/>
      <c r="J625" s="7"/>
      <c r="K625" s="7"/>
      <c r="L625" s="7"/>
      <c r="M625" s="7"/>
      <c r="N625" s="7"/>
      <c r="O625" s="7"/>
      <c r="P625" s="7"/>
      <c r="Q625" s="7"/>
      <c r="R625" s="7"/>
      <c r="S625" s="7"/>
      <c r="T625" s="7"/>
      <c r="U625" s="7"/>
      <c r="V625" s="7"/>
      <c r="W625" s="7"/>
      <c r="X625" s="7"/>
      <c r="Y625" s="7"/>
      <c r="Z625" s="7"/>
      <c r="AA625" s="7"/>
      <c r="AB625" s="7"/>
      <c r="AC625" s="7"/>
      <c r="AD625" s="7"/>
      <c r="AE625" s="132"/>
      <c r="AF625" s="132"/>
      <c r="AG625" s="113"/>
    </row>
    <row r="626" spans="2:33">
      <c r="B626" s="7"/>
      <c r="C626" s="7"/>
      <c r="D626" s="7"/>
      <c r="E626" s="7"/>
      <c r="F626" s="7"/>
      <c r="G626" s="7"/>
      <c r="H626" s="7"/>
      <c r="I626" s="7"/>
      <c r="J626" s="7"/>
      <c r="K626" s="7"/>
      <c r="L626" s="7"/>
      <c r="M626" s="7"/>
      <c r="N626" s="7"/>
      <c r="O626" s="7"/>
      <c r="P626" s="7"/>
      <c r="Q626" s="7"/>
      <c r="R626" s="7"/>
      <c r="S626" s="7"/>
      <c r="T626" s="7"/>
      <c r="U626" s="7"/>
      <c r="V626" s="7"/>
      <c r="W626" s="7"/>
      <c r="X626" s="7"/>
      <c r="Y626" s="7"/>
      <c r="Z626" s="7"/>
      <c r="AA626" s="7"/>
      <c r="AB626" s="7"/>
      <c r="AC626" s="7"/>
      <c r="AD626" s="7"/>
      <c r="AE626" s="132"/>
      <c r="AF626" s="132"/>
      <c r="AG626" s="113"/>
    </row>
    <row r="627" spans="2:33">
      <c r="B627" s="7"/>
      <c r="C627" s="7"/>
      <c r="D627" s="7"/>
      <c r="E627" s="7"/>
      <c r="F627" s="7"/>
      <c r="G627" s="7"/>
      <c r="H627" s="7"/>
      <c r="I627" s="7"/>
      <c r="J627" s="7"/>
      <c r="K627" s="7"/>
      <c r="L627" s="7"/>
      <c r="M627" s="7"/>
      <c r="N627" s="7"/>
      <c r="O627" s="7"/>
      <c r="P627" s="7"/>
      <c r="Q627" s="7"/>
      <c r="R627" s="7"/>
      <c r="S627" s="7"/>
      <c r="T627" s="7"/>
      <c r="U627" s="7"/>
      <c r="V627" s="7"/>
      <c r="W627" s="7"/>
      <c r="X627" s="7"/>
      <c r="Y627" s="7"/>
      <c r="Z627" s="7"/>
      <c r="AA627" s="7"/>
      <c r="AB627" s="7"/>
      <c r="AC627" s="7"/>
      <c r="AD627" s="7"/>
      <c r="AE627" s="132"/>
      <c r="AF627" s="132"/>
      <c r="AG627" s="113"/>
    </row>
    <row r="628" spans="2:33">
      <c r="B628" s="7"/>
      <c r="C628" s="7"/>
      <c r="D628" s="7"/>
      <c r="E628" s="7"/>
      <c r="F628" s="7"/>
      <c r="G628" s="7"/>
      <c r="H628" s="7"/>
      <c r="I628" s="7"/>
      <c r="J628" s="7"/>
      <c r="K628" s="7"/>
      <c r="L628" s="7"/>
      <c r="M628" s="7"/>
      <c r="N628" s="7"/>
      <c r="O628" s="7"/>
      <c r="P628" s="7"/>
      <c r="Q628" s="7"/>
      <c r="R628" s="7"/>
      <c r="S628" s="7"/>
      <c r="T628" s="7"/>
      <c r="U628" s="7"/>
      <c r="V628" s="7"/>
      <c r="W628" s="7"/>
      <c r="X628" s="7"/>
      <c r="Y628" s="7"/>
      <c r="Z628" s="7"/>
      <c r="AA628" s="7"/>
      <c r="AB628" s="7"/>
      <c r="AC628" s="7"/>
      <c r="AD628" s="7"/>
      <c r="AE628" s="132"/>
      <c r="AF628" s="132"/>
      <c r="AG628" s="113"/>
    </row>
    <row r="629" spans="2:33">
      <c r="B629" s="7"/>
      <c r="C629" s="7"/>
      <c r="D629" s="7"/>
      <c r="E629" s="7"/>
      <c r="F629" s="7"/>
      <c r="G629" s="7"/>
      <c r="H629" s="7"/>
      <c r="I629" s="7"/>
      <c r="J629" s="7"/>
      <c r="K629" s="7"/>
      <c r="L629" s="7"/>
      <c r="M629" s="7"/>
      <c r="N629" s="7"/>
      <c r="O629" s="7"/>
      <c r="P629" s="7"/>
      <c r="Q629" s="7"/>
      <c r="R629" s="7"/>
      <c r="S629" s="7"/>
      <c r="T629" s="7"/>
      <c r="U629" s="7"/>
      <c r="V629" s="7"/>
      <c r="W629" s="7"/>
      <c r="X629" s="7"/>
      <c r="Y629" s="7"/>
      <c r="Z629" s="7"/>
      <c r="AA629" s="7"/>
      <c r="AB629" s="7"/>
      <c r="AC629" s="7"/>
      <c r="AD629" s="7"/>
      <c r="AE629" s="132"/>
      <c r="AF629" s="132"/>
      <c r="AG629" s="113"/>
    </row>
    <row r="630" spans="2:33">
      <c r="B630" s="7"/>
      <c r="C630" s="7"/>
      <c r="D630" s="7"/>
      <c r="E630" s="7"/>
      <c r="F630" s="7"/>
      <c r="G630" s="7"/>
      <c r="H630" s="7"/>
      <c r="I630" s="7"/>
      <c r="J630" s="7"/>
      <c r="K630" s="7"/>
      <c r="L630" s="7"/>
      <c r="M630" s="7"/>
      <c r="N630" s="7"/>
      <c r="O630" s="7"/>
      <c r="P630" s="7"/>
      <c r="Q630" s="7"/>
      <c r="R630" s="7"/>
      <c r="S630" s="7"/>
      <c r="T630" s="7"/>
      <c r="U630" s="7"/>
      <c r="V630" s="7"/>
      <c r="W630" s="7"/>
      <c r="X630" s="7"/>
      <c r="Y630" s="7"/>
      <c r="Z630" s="7"/>
      <c r="AA630" s="7"/>
      <c r="AB630" s="7"/>
      <c r="AC630" s="7"/>
      <c r="AD630" s="7"/>
      <c r="AE630" s="132"/>
      <c r="AF630" s="132"/>
      <c r="AG630" s="113"/>
    </row>
    <row r="631" spans="2:33">
      <c r="B631" s="7"/>
      <c r="C631" s="7"/>
      <c r="D631" s="7"/>
      <c r="E631" s="7"/>
      <c r="F631" s="7"/>
      <c r="G631" s="7"/>
      <c r="H631" s="7"/>
      <c r="I631" s="7"/>
      <c r="J631" s="7"/>
      <c r="K631" s="7"/>
      <c r="L631" s="7"/>
      <c r="M631" s="7"/>
      <c r="N631" s="7"/>
      <c r="O631" s="7"/>
      <c r="P631" s="7"/>
      <c r="Q631" s="7"/>
      <c r="R631" s="7"/>
      <c r="S631" s="7"/>
      <c r="T631" s="7"/>
      <c r="U631" s="7"/>
      <c r="V631" s="7"/>
      <c r="W631" s="7"/>
      <c r="X631" s="7"/>
      <c r="Y631" s="7"/>
      <c r="Z631" s="7"/>
      <c r="AA631" s="7"/>
      <c r="AB631" s="7"/>
      <c r="AC631" s="7"/>
      <c r="AD631" s="7"/>
      <c r="AE631" s="132"/>
      <c r="AF631" s="132"/>
      <c r="AG631" s="113"/>
    </row>
    <row r="632" spans="2:33">
      <c r="B632" s="7"/>
      <c r="C632" s="7"/>
      <c r="D632" s="7"/>
      <c r="E632" s="7"/>
      <c r="F632" s="7"/>
      <c r="G632" s="7"/>
      <c r="H632" s="7"/>
      <c r="I632" s="7"/>
      <c r="J632" s="7"/>
      <c r="K632" s="7"/>
      <c r="L632" s="7"/>
      <c r="M632" s="7"/>
      <c r="N632" s="7"/>
      <c r="O632" s="7"/>
      <c r="P632" s="7"/>
      <c r="Q632" s="7"/>
      <c r="R632" s="7"/>
      <c r="S632" s="7"/>
      <c r="T632" s="7"/>
      <c r="U632" s="7"/>
      <c r="V632" s="7"/>
      <c r="W632" s="7"/>
      <c r="X632" s="7"/>
      <c r="Y632" s="7"/>
      <c r="Z632" s="7"/>
      <c r="AA632" s="7"/>
      <c r="AB632" s="7"/>
      <c r="AC632" s="7"/>
      <c r="AD632" s="7"/>
      <c r="AE632" s="132"/>
      <c r="AF632" s="132"/>
      <c r="AG632" s="113"/>
    </row>
    <row r="633" spans="2:33">
      <c r="B633" s="7"/>
      <c r="C633" s="7"/>
      <c r="D633" s="7"/>
      <c r="E633" s="7"/>
      <c r="F633" s="7"/>
      <c r="G633" s="7"/>
      <c r="H633" s="7"/>
      <c r="I633" s="7"/>
      <c r="J633" s="7"/>
      <c r="K633" s="7"/>
      <c r="L633" s="7"/>
      <c r="M633" s="7"/>
      <c r="N633" s="7"/>
      <c r="O633" s="7"/>
      <c r="P633" s="7"/>
      <c r="Q633" s="7"/>
      <c r="R633" s="7"/>
      <c r="S633" s="7"/>
      <c r="T633" s="7"/>
      <c r="U633" s="7"/>
      <c r="V633" s="7"/>
      <c r="W633" s="7"/>
      <c r="X633" s="7"/>
      <c r="Y633" s="7"/>
      <c r="Z633" s="7"/>
      <c r="AA633" s="7"/>
      <c r="AB633" s="7"/>
      <c r="AC633" s="7"/>
      <c r="AD633" s="7"/>
      <c r="AE633" s="132"/>
      <c r="AF633" s="132"/>
      <c r="AG633" s="113"/>
    </row>
    <row r="634" spans="2:33">
      <c r="B634" s="7"/>
      <c r="C634" s="7"/>
      <c r="D634" s="7"/>
      <c r="E634" s="7"/>
      <c r="F634" s="7"/>
      <c r="G634" s="7"/>
      <c r="H634" s="7"/>
      <c r="I634" s="7"/>
      <c r="J634" s="7"/>
      <c r="K634" s="7"/>
      <c r="L634" s="7"/>
      <c r="M634" s="7"/>
      <c r="N634" s="7"/>
      <c r="O634" s="7"/>
      <c r="P634" s="7"/>
      <c r="Q634" s="7"/>
      <c r="R634" s="7"/>
      <c r="S634" s="7"/>
      <c r="T634" s="7"/>
      <c r="U634" s="7"/>
      <c r="V634" s="7"/>
      <c r="W634" s="7"/>
      <c r="X634" s="7"/>
      <c r="Y634" s="7"/>
      <c r="Z634" s="7"/>
      <c r="AA634" s="7"/>
      <c r="AB634" s="7"/>
      <c r="AC634" s="7"/>
      <c r="AD634" s="7"/>
      <c r="AE634" s="132"/>
      <c r="AF634" s="132"/>
      <c r="AG634" s="113"/>
    </row>
    <row r="635" spans="2:33">
      <c r="B635" s="7"/>
      <c r="C635" s="7"/>
      <c r="D635" s="7"/>
      <c r="E635" s="7"/>
      <c r="F635" s="7"/>
      <c r="G635" s="7"/>
      <c r="H635" s="7"/>
      <c r="I635" s="7"/>
      <c r="J635" s="7"/>
      <c r="K635" s="7"/>
      <c r="L635" s="7"/>
      <c r="M635" s="7"/>
      <c r="N635" s="7"/>
      <c r="O635" s="7"/>
      <c r="P635" s="7"/>
      <c r="Q635" s="7"/>
      <c r="R635" s="7"/>
      <c r="S635" s="7"/>
      <c r="T635" s="7"/>
      <c r="U635" s="7"/>
      <c r="V635" s="7"/>
      <c r="W635" s="7"/>
      <c r="X635" s="7"/>
      <c r="Y635" s="7"/>
      <c r="Z635" s="7"/>
      <c r="AA635" s="7"/>
      <c r="AB635" s="7"/>
      <c r="AC635" s="7"/>
      <c r="AD635" s="7"/>
      <c r="AE635" s="132"/>
      <c r="AF635" s="132"/>
      <c r="AG635" s="113"/>
    </row>
    <row r="636" spans="2:33">
      <c r="B636" s="7"/>
      <c r="C636" s="7"/>
      <c r="D636" s="7"/>
      <c r="E636" s="7"/>
      <c r="F636" s="7"/>
      <c r="G636" s="7"/>
      <c r="H636" s="7"/>
      <c r="I636" s="7"/>
      <c r="J636" s="7"/>
      <c r="K636" s="7"/>
      <c r="L636" s="7"/>
      <c r="M636" s="7"/>
      <c r="N636" s="7"/>
      <c r="O636" s="7"/>
      <c r="P636" s="7"/>
      <c r="Q636" s="7"/>
      <c r="R636" s="7"/>
      <c r="S636" s="7"/>
      <c r="T636" s="7"/>
      <c r="U636" s="7"/>
      <c r="V636" s="7"/>
      <c r="W636" s="7"/>
      <c r="X636" s="7"/>
      <c r="Y636" s="7"/>
      <c r="Z636" s="7"/>
      <c r="AA636" s="7"/>
      <c r="AB636" s="7"/>
      <c r="AC636" s="7"/>
      <c r="AD636" s="7"/>
      <c r="AE636" s="132"/>
      <c r="AF636" s="132"/>
      <c r="AG636" s="113"/>
    </row>
    <row r="637" spans="2:33">
      <c r="B637" s="7"/>
      <c r="C637" s="7"/>
      <c r="D637" s="7"/>
      <c r="E637" s="7"/>
      <c r="F637" s="7"/>
      <c r="G637" s="7"/>
      <c r="H637" s="7"/>
      <c r="I637" s="7"/>
      <c r="J637" s="7"/>
      <c r="K637" s="7"/>
      <c r="L637" s="7"/>
      <c r="M637" s="7"/>
      <c r="N637" s="7"/>
      <c r="O637" s="7"/>
      <c r="P637" s="7"/>
      <c r="Q637" s="7"/>
      <c r="R637" s="7"/>
      <c r="S637" s="7"/>
      <c r="T637" s="7"/>
      <c r="U637" s="7"/>
      <c r="V637" s="7"/>
      <c r="W637" s="7"/>
      <c r="X637" s="7"/>
      <c r="Y637" s="7"/>
      <c r="Z637" s="7"/>
      <c r="AA637" s="7"/>
      <c r="AB637" s="7"/>
      <c r="AC637" s="7"/>
      <c r="AD637" s="7"/>
      <c r="AE637" s="132"/>
      <c r="AF637" s="132"/>
      <c r="AG637" s="113"/>
    </row>
    <row r="638" spans="2:33">
      <c r="B638" s="7"/>
      <c r="C638" s="7"/>
      <c r="D638" s="7"/>
      <c r="E638" s="7"/>
      <c r="F638" s="7"/>
      <c r="G638" s="7"/>
      <c r="H638" s="7"/>
      <c r="I638" s="7"/>
      <c r="J638" s="7"/>
      <c r="K638" s="7"/>
      <c r="L638" s="7"/>
      <c r="M638" s="7"/>
      <c r="N638" s="7"/>
      <c r="O638" s="7"/>
      <c r="P638" s="7"/>
      <c r="Q638" s="7"/>
      <c r="R638" s="7"/>
      <c r="S638" s="7"/>
      <c r="T638" s="7"/>
      <c r="U638" s="7"/>
      <c r="V638" s="7"/>
      <c r="W638" s="7"/>
      <c r="X638" s="7"/>
      <c r="Y638" s="7"/>
      <c r="Z638" s="7"/>
      <c r="AA638" s="7"/>
      <c r="AB638" s="7"/>
      <c r="AC638" s="7"/>
      <c r="AD638" s="7"/>
      <c r="AE638" s="132"/>
      <c r="AF638" s="132"/>
      <c r="AG638" s="113"/>
    </row>
    <row r="639" spans="2:33">
      <c r="B639" s="7"/>
      <c r="C639" s="7"/>
      <c r="D639" s="7"/>
      <c r="E639" s="7"/>
      <c r="F639" s="7"/>
      <c r="G639" s="7"/>
      <c r="H639" s="7"/>
      <c r="I639" s="7"/>
      <c r="J639" s="7"/>
      <c r="K639" s="7"/>
      <c r="L639" s="7"/>
      <c r="M639" s="7"/>
      <c r="N639" s="7"/>
      <c r="O639" s="7"/>
      <c r="P639" s="7"/>
      <c r="Q639" s="7"/>
      <c r="R639" s="7"/>
      <c r="S639" s="7"/>
      <c r="T639" s="7"/>
      <c r="U639" s="7"/>
      <c r="V639" s="7"/>
      <c r="W639" s="7"/>
      <c r="X639" s="7"/>
      <c r="Y639" s="7"/>
      <c r="Z639" s="7"/>
      <c r="AA639" s="7"/>
      <c r="AB639" s="7"/>
      <c r="AC639" s="7"/>
      <c r="AD639" s="7"/>
      <c r="AE639" s="132"/>
      <c r="AF639" s="132"/>
      <c r="AG639" s="113"/>
    </row>
    <row r="640" spans="2:33">
      <c r="B640" s="7"/>
      <c r="C640" s="7"/>
      <c r="D640" s="7"/>
      <c r="E640" s="7"/>
      <c r="F640" s="7"/>
      <c r="G640" s="7"/>
      <c r="H640" s="7"/>
      <c r="I640" s="7"/>
      <c r="J640" s="7"/>
      <c r="K640" s="7"/>
      <c r="L640" s="7"/>
      <c r="M640" s="7"/>
      <c r="N640" s="7"/>
      <c r="O640" s="7"/>
      <c r="P640" s="7"/>
      <c r="Q640" s="7"/>
      <c r="R640" s="7"/>
      <c r="S640" s="7"/>
      <c r="T640" s="7"/>
      <c r="U640" s="7"/>
      <c r="V640" s="7"/>
      <c r="W640" s="7"/>
      <c r="X640" s="7"/>
      <c r="Y640" s="7"/>
      <c r="Z640" s="7"/>
      <c r="AA640" s="7"/>
      <c r="AB640" s="7"/>
      <c r="AC640" s="7"/>
      <c r="AD640" s="7"/>
      <c r="AE640" s="132"/>
      <c r="AF640" s="132"/>
      <c r="AG640" s="113"/>
    </row>
    <row r="641" spans="2:33">
      <c r="B641" s="7"/>
      <c r="C641" s="7"/>
      <c r="D641" s="7"/>
      <c r="E641" s="7"/>
      <c r="F641" s="7"/>
      <c r="G641" s="7"/>
      <c r="H641" s="7"/>
      <c r="I641" s="7"/>
      <c r="J641" s="7"/>
      <c r="K641" s="7"/>
      <c r="L641" s="7"/>
      <c r="M641" s="7"/>
      <c r="N641" s="7"/>
      <c r="O641" s="7"/>
      <c r="P641" s="7"/>
      <c r="Q641" s="7"/>
      <c r="R641" s="7"/>
      <c r="S641" s="7"/>
      <c r="T641" s="7"/>
      <c r="U641" s="7"/>
      <c r="V641" s="7"/>
      <c r="W641" s="7"/>
      <c r="X641" s="7"/>
      <c r="Y641" s="7"/>
      <c r="Z641" s="7"/>
      <c r="AA641" s="7"/>
      <c r="AB641" s="7"/>
      <c r="AC641" s="7"/>
      <c r="AD641" s="7"/>
      <c r="AE641" s="132"/>
      <c r="AF641" s="132"/>
      <c r="AG641" s="113"/>
    </row>
    <row r="642" spans="2:33">
      <c r="B642" s="7"/>
      <c r="C642" s="7"/>
      <c r="D642" s="7"/>
      <c r="E642" s="7"/>
      <c r="F642" s="7"/>
      <c r="G642" s="7"/>
      <c r="H642" s="7"/>
      <c r="I642" s="7"/>
      <c r="J642" s="7"/>
      <c r="K642" s="7"/>
      <c r="L642" s="7"/>
      <c r="M642" s="7"/>
      <c r="N642" s="7"/>
      <c r="O642" s="7"/>
      <c r="P642" s="7"/>
      <c r="Q642" s="7"/>
      <c r="R642" s="7"/>
      <c r="S642" s="7"/>
      <c r="T642" s="7"/>
      <c r="U642" s="7"/>
      <c r="V642" s="7"/>
      <c r="W642" s="7"/>
      <c r="X642" s="7"/>
      <c r="Y642" s="7"/>
      <c r="Z642" s="7"/>
      <c r="AA642" s="7"/>
      <c r="AB642" s="7"/>
      <c r="AC642" s="7"/>
      <c r="AD642" s="7"/>
      <c r="AE642" s="132"/>
      <c r="AF642" s="132"/>
      <c r="AG642" s="113"/>
    </row>
    <row r="643" spans="2:33">
      <c r="B643" s="7"/>
      <c r="C643" s="7"/>
      <c r="D643" s="7"/>
      <c r="E643" s="7"/>
      <c r="F643" s="7"/>
      <c r="G643" s="7"/>
      <c r="H643" s="7"/>
      <c r="I643" s="7"/>
      <c r="J643" s="7"/>
      <c r="K643" s="7"/>
      <c r="L643" s="7"/>
      <c r="M643" s="7"/>
      <c r="N643" s="7"/>
      <c r="O643" s="7"/>
      <c r="P643" s="7"/>
      <c r="Q643" s="7"/>
      <c r="R643" s="7"/>
      <c r="S643" s="7"/>
      <c r="T643" s="7"/>
      <c r="U643" s="7"/>
      <c r="V643" s="7"/>
      <c r="W643" s="7"/>
      <c r="X643" s="7"/>
      <c r="Y643" s="7"/>
      <c r="Z643" s="7"/>
      <c r="AA643" s="7"/>
      <c r="AB643" s="7"/>
      <c r="AC643" s="7"/>
      <c r="AD643" s="7"/>
      <c r="AE643" s="132"/>
      <c r="AF643" s="132"/>
      <c r="AG643" s="113"/>
    </row>
    <row r="644" spans="2:33">
      <c r="B644" s="7"/>
      <c r="C644" s="7"/>
      <c r="D644" s="7"/>
      <c r="E644" s="7"/>
      <c r="F644" s="7"/>
      <c r="G644" s="7"/>
      <c r="H644" s="7"/>
      <c r="I644" s="7"/>
      <c r="J644" s="7"/>
      <c r="K644" s="7"/>
      <c r="L644" s="7"/>
      <c r="M644" s="7"/>
      <c r="N644" s="7"/>
      <c r="O644" s="7"/>
      <c r="P644" s="7"/>
      <c r="Q644" s="7"/>
      <c r="R644" s="7"/>
      <c r="S644" s="7"/>
      <c r="T644" s="7"/>
      <c r="U644" s="7"/>
      <c r="V644" s="7"/>
      <c r="W644" s="7"/>
      <c r="X644" s="7"/>
      <c r="Y644" s="7"/>
      <c r="Z644" s="7"/>
      <c r="AA644" s="7"/>
      <c r="AB644" s="7"/>
      <c r="AC644" s="7"/>
      <c r="AD644" s="7"/>
      <c r="AE644" s="132"/>
      <c r="AF644" s="132"/>
      <c r="AG644" s="113"/>
    </row>
    <row r="645" spans="2:33">
      <c r="B645" s="7"/>
      <c r="C645" s="7"/>
      <c r="D645" s="7"/>
      <c r="E645" s="7"/>
      <c r="F645" s="7"/>
      <c r="G645" s="7"/>
      <c r="H645" s="7"/>
      <c r="I645" s="7"/>
      <c r="J645" s="7"/>
      <c r="K645" s="7"/>
      <c r="L645" s="7"/>
      <c r="M645" s="7"/>
      <c r="N645" s="7"/>
      <c r="O645" s="7"/>
      <c r="P645" s="7"/>
      <c r="Q645" s="7"/>
      <c r="R645" s="7"/>
      <c r="S645" s="7"/>
      <c r="T645" s="7"/>
      <c r="U645" s="7"/>
      <c r="V645" s="7"/>
      <c r="W645" s="7"/>
      <c r="X645" s="7"/>
      <c r="Y645" s="7"/>
      <c r="Z645" s="7"/>
      <c r="AA645" s="7"/>
      <c r="AB645" s="7"/>
      <c r="AC645" s="7"/>
      <c r="AD645" s="7"/>
      <c r="AE645" s="132"/>
      <c r="AF645" s="132"/>
      <c r="AG645" s="113"/>
    </row>
    <row r="646" spans="2:33">
      <c r="B646" s="7"/>
      <c r="C646" s="7"/>
      <c r="D646" s="7"/>
      <c r="E646" s="7"/>
      <c r="F646" s="7"/>
      <c r="G646" s="7"/>
      <c r="H646" s="7"/>
      <c r="I646" s="7"/>
      <c r="J646" s="7"/>
      <c r="K646" s="7"/>
      <c r="L646" s="7"/>
      <c r="M646" s="7"/>
      <c r="N646" s="7"/>
      <c r="O646" s="7"/>
      <c r="P646" s="7"/>
      <c r="Q646" s="7"/>
      <c r="R646" s="7"/>
      <c r="S646" s="7"/>
      <c r="T646" s="7"/>
      <c r="U646" s="7"/>
      <c r="V646" s="7"/>
      <c r="W646" s="7"/>
      <c r="X646" s="7"/>
      <c r="Y646" s="7"/>
      <c r="Z646" s="7"/>
      <c r="AA646" s="7"/>
      <c r="AB646" s="7"/>
      <c r="AC646" s="7"/>
      <c r="AD646" s="7"/>
      <c r="AE646" s="132"/>
      <c r="AF646" s="132"/>
      <c r="AG646" s="113"/>
    </row>
    <row r="647" spans="2:33">
      <c r="B647" s="7"/>
      <c r="C647" s="7"/>
      <c r="D647" s="7"/>
      <c r="E647" s="7"/>
      <c r="F647" s="7"/>
      <c r="G647" s="7"/>
      <c r="H647" s="7"/>
      <c r="I647" s="7"/>
      <c r="J647" s="7"/>
      <c r="K647" s="7"/>
      <c r="L647" s="7"/>
      <c r="M647" s="7"/>
      <c r="N647" s="7"/>
      <c r="O647" s="7"/>
      <c r="P647" s="7"/>
      <c r="Q647" s="7"/>
      <c r="R647" s="7"/>
      <c r="S647" s="7"/>
      <c r="T647" s="7"/>
      <c r="U647" s="7"/>
      <c r="V647" s="7"/>
      <c r="W647" s="7"/>
      <c r="X647" s="7"/>
      <c r="Y647" s="7"/>
      <c r="Z647" s="7"/>
      <c r="AA647" s="7"/>
      <c r="AB647" s="7"/>
      <c r="AC647" s="7"/>
      <c r="AD647" s="7"/>
      <c r="AE647" s="132"/>
      <c r="AF647" s="132"/>
      <c r="AG647" s="113"/>
    </row>
    <row r="648" spans="2:33">
      <c r="B648" s="7"/>
      <c r="C648" s="7"/>
      <c r="D648" s="7"/>
      <c r="E648" s="7"/>
      <c r="F648" s="7"/>
      <c r="G648" s="7"/>
      <c r="H648" s="7"/>
      <c r="I648" s="7"/>
      <c r="J648" s="7"/>
      <c r="K648" s="7"/>
      <c r="L648" s="7"/>
      <c r="M648" s="7"/>
      <c r="N648" s="7"/>
      <c r="O648" s="7"/>
      <c r="P648" s="7"/>
      <c r="Q648" s="7"/>
      <c r="R648" s="7"/>
      <c r="S648" s="7"/>
      <c r="T648" s="7"/>
      <c r="U648" s="7"/>
      <c r="V648" s="7"/>
      <c r="W648" s="7"/>
      <c r="X648" s="7"/>
      <c r="Y648" s="7"/>
      <c r="Z648" s="7"/>
      <c r="AA648" s="7"/>
      <c r="AB648" s="7"/>
      <c r="AC648" s="7"/>
      <c r="AD648" s="7"/>
      <c r="AE648" s="132"/>
      <c r="AF648" s="132"/>
      <c r="AG648" s="113"/>
    </row>
    <row r="649" spans="2:33">
      <c r="B649" s="7"/>
      <c r="C649" s="7"/>
      <c r="D649" s="7"/>
      <c r="E649" s="7"/>
      <c r="F649" s="7"/>
      <c r="G649" s="7"/>
      <c r="H649" s="7"/>
      <c r="I649" s="7"/>
      <c r="J649" s="7"/>
      <c r="K649" s="7"/>
      <c r="L649" s="7"/>
      <c r="M649" s="7"/>
      <c r="N649" s="7"/>
      <c r="O649" s="7"/>
      <c r="P649" s="7"/>
      <c r="Q649" s="7"/>
      <c r="R649" s="7"/>
      <c r="S649" s="7"/>
      <c r="T649" s="7"/>
      <c r="U649" s="7"/>
      <c r="V649" s="7"/>
      <c r="W649" s="7"/>
      <c r="X649" s="7"/>
      <c r="Y649" s="7"/>
      <c r="Z649" s="7"/>
      <c r="AA649" s="7"/>
      <c r="AB649" s="7"/>
      <c r="AC649" s="7"/>
      <c r="AD649" s="7"/>
      <c r="AE649" s="132"/>
      <c r="AF649" s="132"/>
      <c r="AG649" s="113"/>
    </row>
    <row r="650" spans="2:33">
      <c r="B650" s="7"/>
      <c r="C650" s="7"/>
      <c r="D650" s="7"/>
      <c r="E650" s="7"/>
      <c r="F650" s="7"/>
      <c r="G650" s="7"/>
      <c r="H650" s="7"/>
      <c r="I650" s="7"/>
      <c r="J650" s="7"/>
      <c r="K650" s="7"/>
      <c r="L650" s="7"/>
      <c r="M650" s="7"/>
      <c r="N650" s="7"/>
      <c r="O650" s="7"/>
      <c r="P650" s="7"/>
      <c r="Q650" s="7"/>
      <c r="R650" s="7"/>
      <c r="S650" s="7"/>
      <c r="T650" s="7"/>
      <c r="U650" s="7"/>
      <c r="V650" s="7"/>
      <c r="W650" s="7"/>
      <c r="X650" s="7"/>
      <c r="Y650" s="7"/>
      <c r="Z650" s="7"/>
      <c r="AA650" s="7"/>
      <c r="AB650" s="7"/>
      <c r="AC650" s="7"/>
      <c r="AD650" s="7"/>
      <c r="AE650" s="132"/>
      <c r="AF650" s="132"/>
      <c r="AG650" s="113"/>
    </row>
    <row r="651" spans="2:33">
      <c r="B651" s="7"/>
      <c r="C651" s="7"/>
      <c r="D651" s="7"/>
      <c r="E651" s="7"/>
      <c r="F651" s="7"/>
      <c r="G651" s="7"/>
      <c r="H651" s="7"/>
      <c r="I651" s="7"/>
      <c r="J651" s="7"/>
      <c r="K651" s="7"/>
      <c r="L651" s="7"/>
      <c r="M651" s="7"/>
      <c r="N651" s="7"/>
      <c r="O651" s="7"/>
      <c r="P651" s="7"/>
      <c r="Q651" s="7"/>
      <c r="R651" s="7"/>
      <c r="S651" s="7"/>
      <c r="T651" s="7"/>
      <c r="U651" s="7"/>
      <c r="V651" s="7"/>
      <c r="W651" s="7"/>
      <c r="X651" s="7"/>
      <c r="Y651" s="7"/>
      <c r="Z651" s="7"/>
      <c r="AA651" s="7"/>
      <c r="AB651" s="7"/>
      <c r="AC651" s="7"/>
      <c r="AD651" s="7"/>
      <c r="AE651" s="132"/>
      <c r="AF651" s="132"/>
      <c r="AG651" s="113"/>
    </row>
    <row r="652" spans="2:33">
      <c r="B652" s="7"/>
      <c r="C652" s="7"/>
      <c r="D652" s="7"/>
      <c r="E652" s="7"/>
      <c r="F652" s="7"/>
      <c r="G652" s="7"/>
      <c r="H652" s="7"/>
      <c r="I652" s="7"/>
      <c r="J652" s="7"/>
      <c r="K652" s="7"/>
      <c r="L652" s="7"/>
      <c r="M652" s="7"/>
      <c r="N652" s="7"/>
      <c r="O652" s="7"/>
      <c r="P652" s="7"/>
      <c r="Q652" s="7"/>
      <c r="R652" s="7"/>
      <c r="S652" s="7"/>
      <c r="T652" s="7"/>
      <c r="U652" s="7"/>
      <c r="V652" s="7"/>
      <c r="W652" s="7"/>
      <c r="X652" s="7"/>
      <c r="Y652" s="7"/>
      <c r="Z652" s="7"/>
      <c r="AA652" s="7"/>
      <c r="AB652" s="7"/>
      <c r="AC652" s="7"/>
      <c r="AD652" s="7"/>
      <c r="AE652" s="132"/>
      <c r="AF652" s="132"/>
      <c r="AG652" s="113"/>
    </row>
    <row r="653" spans="2:33">
      <c r="B653" s="7"/>
      <c r="C653" s="7"/>
      <c r="D653" s="7"/>
      <c r="E653" s="7"/>
      <c r="F653" s="7"/>
      <c r="G653" s="7"/>
      <c r="H653" s="7"/>
      <c r="I653" s="7"/>
      <c r="J653" s="7"/>
      <c r="K653" s="7"/>
      <c r="L653" s="7"/>
      <c r="M653" s="7"/>
      <c r="N653" s="7"/>
      <c r="O653" s="7"/>
      <c r="P653" s="7"/>
      <c r="Q653" s="7"/>
      <c r="R653" s="7"/>
      <c r="S653" s="7"/>
      <c r="T653" s="7"/>
      <c r="U653" s="7"/>
      <c r="V653" s="7"/>
      <c r="W653" s="7"/>
      <c r="X653" s="7"/>
      <c r="Y653" s="7"/>
      <c r="Z653" s="7"/>
      <c r="AA653" s="7"/>
      <c r="AB653" s="7"/>
      <c r="AC653" s="7"/>
      <c r="AD653" s="7"/>
      <c r="AE653" s="132"/>
      <c r="AF653" s="132"/>
      <c r="AG653" s="113"/>
    </row>
    <row r="654" spans="2:33">
      <c r="B654" s="7"/>
      <c r="C654" s="7"/>
      <c r="D654" s="7"/>
      <c r="E654" s="7"/>
      <c r="F654" s="7"/>
      <c r="G654" s="7"/>
      <c r="H654" s="7"/>
      <c r="I654" s="7"/>
      <c r="J654" s="7"/>
      <c r="K654" s="7"/>
      <c r="L654" s="7"/>
      <c r="M654" s="7"/>
      <c r="N654" s="7"/>
      <c r="O654" s="7"/>
      <c r="P654" s="7"/>
      <c r="Q654" s="7"/>
      <c r="R654" s="7"/>
      <c r="S654" s="7"/>
      <c r="T654" s="7"/>
      <c r="U654" s="7"/>
      <c r="V654" s="7"/>
      <c r="W654" s="7"/>
      <c r="X654" s="7"/>
      <c r="Y654" s="7"/>
      <c r="Z654" s="7"/>
      <c r="AA654" s="7"/>
      <c r="AB654" s="7"/>
      <c r="AC654" s="7"/>
      <c r="AD654" s="7"/>
      <c r="AE654" s="132"/>
      <c r="AF654" s="132"/>
      <c r="AG654" s="113"/>
    </row>
    <row r="655" spans="2:33">
      <c r="B655" s="7"/>
      <c r="C655" s="7"/>
      <c r="D655" s="7"/>
      <c r="E655" s="7"/>
      <c r="F655" s="7"/>
      <c r="G655" s="7"/>
      <c r="H655" s="7"/>
      <c r="I655" s="7"/>
      <c r="J655" s="7"/>
      <c r="K655" s="7"/>
      <c r="L655" s="7"/>
      <c r="M655" s="7"/>
      <c r="N655" s="7"/>
      <c r="O655" s="7"/>
      <c r="P655" s="7"/>
      <c r="Q655" s="7"/>
      <c r="R655" s="7"/>
      <c r="S655" s="7"/>
      <c r="T655" s="7"/>
      <c r="U655" s="7"/>
      <c r="V655" s="7"/>
      <c r="W655" s="7"/>
      <c r="X655" s="7"/>
      <c r="Y655" s="7"/>
      <c r="Z655" s="7"/>
      <c r="AA655" s="7"/>
      <c r="AB655" s="7"/>
      <c r="AC655" s="7"/>
      <c r="AD655" s="7"/>
      <c r="AE655" s="132"/>
      <c r="AF655" s="132"/>
      <c r="AG655" s="113"/>
    </row>
    <row r="656" spans="2:33">
      <c r="B656" s="7"/>
      <c r="C656" s="7"/>
      <c r="D656" s="7"/>
      <c r="E656" s="7"/>
      <c r="F656" s="7"/>
      <c r="G656" s="7"/>
      <c r="H656" s="7"/>
      <c r="I656" s="7"/>
      <c r="J656" s="7"/>
      <c r="K656" s="7"/>
      <c r="L656" s="7"/>
      <c r="M656" s="7"/>
      <c r="N656" s="7"/>
      <c r="O656" s="7"/>
      <c r="P656" s="7"/>
      <c r="Q656" s="7"/>
      <c r="R656" s="7"/>
      <c r="S656" s="7"/>
      <c r="T656" s="7"/>
      <c r="U656" s="7"/>
      <c r="V656" s="7"/>
      <c r="W656" s="7"/>
      <c r="X656" s="7"/>
      <c r="Y656" s="7"/>
      <c r="Z656" s="7"/>
      <c r="AA656" s="7"/>
      <c r="AB656" s="7"/>
      <c r="AC656" s="7"/>
      <c r="AD656" s="7"/>
      <c r="AE656" s="132"/>
      <c r="AF656" s="132"/>
      <c r="AG656" s="113"/>
    </row>
    <row r="657" spans="2:33">
      <c r="B657" s="7"/>
      <c r="C657" s="7"/>
      <c r="D657" s="7"/>
      <c r="E657" s="7"/>
      <c r="F657" s="7"/>
      <c r="G657" s="7"/>
      <c r="H657" s="7"/>
      <c r="I657" s="7"/>
      <c r="J657" s="7"/>
      <c r="K657" s="7"/>
      <c r="L657" s="7"/>
      <c r="M657" s="7"/>
      <c r="N657" s="7"/>
      <c r="O657" s="7"/>
      <c r="P657" s="7"/>
      <c r="Q657" s="7"/>
      <c r="R657" s="7"/>
      <c r="S657" s="7"/>
      <c r="T657" s="7"/>
      <c r="U657" s="7"/>
      <c r="V657" s="7"/>
      <c r="W657" s="7"/>
      <c r="X657" s="7"/>
      <c r="Y657" s="7"/>
      <c r="Z657" s="7"/>
      <c r="AA657" s="7"/>
      <c r="AB657" s="7"/>
      <c r="AC657" s="7"/>
      <c r="AD657" s="7"/>
      <c r="AE657" s="132"/>
      <c r="AF657" s="132"/>
      <c r="AG657" s="113"/>
    </row>
    <row r="658" spans="2:33">
      <c r="B658" s="7"/>
      <c r="C658" s="7"/>
      <c r="D658" s="7"/>
      <c r="E658" s="7"/>
      <c r="F658" s="7"/>
      <c r="G658" s="7"/>
      <c r="H658" s="7"/>
      <c r="I658" s="7"/>
      <c r="J658" s="7"/>
      <c r="K658" s="7"/>
      <c r="L658" s="7"/>
      <c r="M658" s="7"/>
      <c r="N658" s="7"/>
      <c r="O658" s="7"/>
      <c r="P658" s="7"/>
      <c r="Q658" s="7"/>
      <c r="R658" s="7"/>
      <c r="S658" s="7"/>
      <c r="T658" s="7"/>
      <c r="U658" s="7"/>
      <c r="V658" s="7"/>
      <c r="W658" s="7"/>
      <c r="X658" s="7"/>
      <c r="Y658" s="7"/>
      <c r="Z658" s="7"/>
      <c r="AA658" s="7"/>
      <c r="AB658" s="7"/>
      <c r="AC658" s="7"/>
      <c r="AD658" s="7"/>
      <c r="AE658" s="132"/>
      <c r="AF658" s="132"/>
      <c r="AG658" s="113"/>
    </row>
    <row r="659" spans="2:33">
      <c r="B659" s="7"/>
      <c r="C659" s="7"/>
      <c r="D659" s="7"/>
      <c r="E659" s="7"/>
      <c r="F659" s="7"/>
      <c r="G659" s="7"/>
      <c r="H659" s="7"/>
      <c r="I659" s="7"/>
      <c r="J659" s="7"/>
      <c r="K659" s="7"/>
      <c r="L659" s="7"/>
      <c r="M659" s="7"/>
      <c r="N659" s="7"/>
      <c r="O659" s="7"/>
      <c r="P659" s="7"/>
      <c r="Q659" s="7"/>
      <c r="R659" s="7"/>
      <c r="S659" s="7"/>
      <c r="T659" s="7"/>
      <c r="U659" s="7"/>
      <c r="V659" s="7"/>
      <c r="W659" s="7"/>
      <c r="X659" s="7"/>
      <c r="Y659" s="7"/>
      <c r="Z659" s="7"/>
      <c r="AA659" s="7"/>
      <c r="AB659" s="7"/>
      <c r="AC659" s="7"/>
      <c r="AD659" s="7"/>
      <c r="AE659" s="132"/>
      <c r="AF659" s="132"/>
      <c r="AG659" s="113"/>
    </row>
    <row r="660" spans="2:33">
      <c r="B660" s="7"/>
      <c r="C660" s="7"/>
      <c r="D660" s="7"/>
      <c r="E660" s="7"/>
      <c r="F660" s="7"/>
      <c r="G660" s="7"/>
      <c r="H660" s="7"/>
      <c r="I660" s="7"/>
      <c r="J660" s="7"/>
      <c r="K660" s="7"/>
      <c r="L660" s="7"/>
      <c r="M660" s="7"/>
      <c r="N660" s="7"/>
      <c r="O660" s="7"/>
      <c r="P660" s="7"/>
      <c r="Q660" s="7"/>
      <c r="R660" s="7"/>
      <c r="S660" s="7"/>
      <c r="T660" s="7"/>
      <c r="U660" s="7"/>
      <c r="V660" s="7"/>
      <c r="W660" s="7"/>
      <c r="X660" s="7"/>
      <c r="Y660" s="7"/>
      <c r="Z660" s="7"/>
      <c r="AA660" s="7"/>
      <c r="AB660" s="7"/>
      <c r="AC660" s="7"/>
      <c r="AD660" s="7"/>
      <c r="AE660" s="132"/>
      <c r="AF660" s="132"/>
      <c r="AG660" s="113"/>
    </row>
    <row r="661" spans="2:33">
      <c r="B661" s="7"/>
      <c r="C661" s="7"/>
      <c r="D661" s="7"/>
      <c r="E661" s="7"/>
      <c r="F661" s="7"/>
      <c r="G661" s="7"/>
      <c r="H661" s="7"/>
      <c r="I661" s="7"/>
      <c r="J661" s="7"/>
      <c r="K661" s="7"/>
      <c r="L661" s="7"/>
      <c r="M661" s="7"/>
      <c r="N661" s="7"/>
      <c r="O661" s="7"/>
      <c r="P661" s="7"/>
      <c r="Q661" s="7"/>
      <c r="R661" s="7"/>
      <c r="S661" s="7"/>
      <c r="T661" s="7"/>
      <c r="U661" s="7"/>
      <c r="V661" s="7"/>
      <c r="W661" s="7"/>
      <c r="X661" s="7"/>
      <c r="Y661" s="7"/>
      <c r="Z661" s="7"/>
      <c r="AA661" s="7"/>
      <c r="AB661" s="7"/>
      <c r="AC661" s="7"/>
      <c r="AD661" s="7"/>
      <c r="AE661" s="132"/>
      <c r="AF661" s="132"/>
      <c r="AG661" s="113"/>
    </row>
    <row r="662" spans="2:33">
      <c r="B662" s="7"/>
      <c r="C662" s="7"/>
      <c r="D662" s="7"/>
      <c r="E662" s="7"/>
      <c r="F662" s="7"/>
      <c r="G662" s="7"/>
      <c r="H662" s="7"/>
      <c r="I662" s="7"/>
      <c r="J662" s="7"/>
      <c r="K662" s="7"/>
      <c r="L662" s="7"/>
      <c r="M662" s="7"/>
      <c r="N662" s="7"/>
      <c r="O662" s="7"/>
      <c r="P662" s="7"/>
      <c r="Q662" s="7"/>
      <c r="R662" s="7"/>
      <c r="S662" s="7"/>
      <c r="T662" s="7"/>
      <c r="U662" s="7"/>
      <c r="V662" s="7"/>
      <c r="W662" s="7"/>
      <c r="X662" s="7"/>
      <c r="Y662" s="7"/>
      <c r="Z662" s="7"/>
      <c r="AA662" s="7"/>
      <c r="AB662" s="7"/>
      <c r="AC662" s="7"/>
      <c r="AD662" s="7"/>
      <c r="AE662" s="132"/>
      <c r="AF662" s="132"/>
      <c r="AG662" s="113"/>
    </row>
    <row r="663" spans="2:33">
      <c r="B663" s="7"/>
      <c r="C663" s="7"/>
      <c r="D663" s="7"/>
      <c r="E663" s="7"/>
      <c r="F663" s="7"/>
      <c r="G663" s="7"/>
      <c r="H663" s="7"/>
      <c r="I663" s="7"/>
      <c r="J663" s="7"/>
      <c r="K663" s="7"/>
      <c r="L663" s="7"/>
      <c r="M663" s="7"/>
      <c r="N663" s="7"/>
      <c r="O663" s="7"/>
      <c r="P663" s="7"/>
      <c r="Q663" s="7"/>
      <c r="R663" s="7"/>
      <c r="S663" s="7"/>
      <c r="T663" s="7"/>
      <c r="U663" s="7"/>
      <c r="V663" s="7"/>
      <c r="W663" s="7"/>
      <c r="X663" s="7"/>
      <c r="Y663" s="7"/>
      <c r="Z663" s="7"/>
      <c r="AA663" s="7"/>
      <c r="AB663" s="7"/>
      <c r="AC663" s="7"/>
      <c r="AD663" s="7"/>
      <c r="AE663" s="132"/>
      <c r="AF663" s="132"/>
      <c r="AG663" s="113"/>
    </row>
    <row r="664" spans="2:33">
      <c r="B664" s="7"/>
      <c r="C664" s="7"/>
      <c r="D664" s="7"/>
      <c r="E664" s="7"/>
      <c r="F664" s="7"/>
      <c r="G664" s="7"/>
      <c r="H664" s="7"/>
      <c r="I664" s="7"/>
      <c r="J664" s="7"/>
      <c r="K664" s="7"/>
      <c r="L664" s="7"/>
      <c r="M664" s="7"/>
      <c r="N664" s="7"/>
      <c r="O664" s="7"/>
      <c r="P664" s="7"/>
      <c r="Q664" s="7"/>
      <c r="R664" s="7"/>
      <c r="S664" s="7"/>
      <c r="T664" s="7"/>
      <c r="U664" s="7"/>
      <c r="V664" s="7"/>
      <c r="W664" s="7"/>
      <c r="X664" s="7"/>
      <c r="Y664" s="7"/>
      <c r="Z664" s="7"/>
      <c r="AA664" s="7"/>
      <c r="AB664" s="7"/>
      <c r="AC664" s="7"/>
      <c r="AD664" s="7"/>
      <c r="AE664" s="132"/>
      <c r="AF664" s="132"/>
      <c r="AG664" s="113"/>
    </row>
    <row r="665" spans="2:33">
      <c r="B665" s="7"/>
      <c r="C665" s="7"/>
      <c r="D665" s="7"/>
      <c r="E665" s="7"/>
      <c r="F665" s="7"/>
      <c r="G665" s="7"/>
      <c r="H665" s="7"/>
      <c r="I665" s="7"/>
      <c r="J665" s="7"/>
      <c r="K665" s="7"/>
      <c r="L665" s="7"/>
      <c r="M665" s="7"/>
      <c r="N665" s="7"/>
      <c r="O665" s="7"/>
      <c r="P665" s="7"/>
      <c r="Q665" s="7"/>
      <c r="R665" s="7"/>
      <c r="S665" s="7"/>
      <c r="T665" s="7"/>
      <c r="U665" s="7"/>
      <c r="V665" s="7"/>
      <c r="W665" s="7"/>
      <c r="X665" s="7"/>
      <c r="Y665" s="7"/>
      <c r="Z665" s="7"/>
      <c r="AA665" s="7"/>
      <c r="AB665" s="7"/>
      <c r="AC665" s="7"/>
      <c r="AD665" s="7"/>
      <c r="AE665" s="132"/>
      <c r="AF665" s="132"/>
      <c r="AG665" s="113"/>
    </row>
    <row r="666" spans="2:33">
      <c r="B666" s="7"/>
      <c r="C666" s="7"/>
      <c r="D666" s="7"/>
      <c r="E666" s="7"/>
      <c r="F666" s="7"/>
      <c r="G666" s="7"/>
      <c r="H666" s="7"/>
      <c r="I666" s="7"/>
      <c r="J666" s="7"/>
      <c r="K666" s="7"/>
      <c r="L666" s="7"/>
      <c r="M666" s="7"/>
      <c r="N666" s="7"/>
      <c r="O666" s="7"/>
      <c r="P666" s="7"/>
      <c r="Q666" s="7"/>
      <c r="R666" s="7"/>
      <c r="S666" s="7"/>
      <c r="T666" s="7"/>
      <c r="U666" s="7"/>
      <c r="V666" s="7"/>
      <c r="W666" s="7"/>
      <c r="X666" s="7"/>
      <c r="Y666" s="7"/>
      <c r="Z666" s="7"/>
      <c r="AA666" s="7"/>
      <c r="AB666" s="7"/>
      <c r="AC666" s="7"/>
      <c r="AD666" s="7"/>
      <c r="AE666" s="132"/>
      <c r="AF666" s="132"/>
      <c r="AG666" s="113"/>
    </row>
    <row r="667" spans="2:33">
      <c r="B667" s="7"/>
      <c r="C667" s="7"/>
      <c r="D667" s="7"/>
      <c r="E667" s="7"/>
      <c r="F667" s="7"/>
      <c r="G667" s="7"/>
      <c r="H667" s="7"/>
      <c r="I667" s="7"/>
      <c r="J667" s="7"/>
      <c r="K667" s="7"/>
      <c r="L667" s="7"/>
      <c r="M667" s="7"/>
      <c r="N667" s="7"/>
      <c r="O667" s="7"/>
      <c r="P667" s="7"/>
      <c r="Q667" s="7"/>
      <c r="R667" s="7"/>
      <c r="S667" s="7"/>
      <c r="T667" s="7"/>
      <c r="U667" s="7"/>
      <c r="V667" s="7"/>
      <c r="W667" s="7"/>
      <c r="X667" s="7"/>
      <c r="Y667" s="7"/>
      <c r="Z667" s="7"/>
      <c r="AA667" s="7"/>
      <c r="AB667" s="7"/>
      <c r="AC667" s="7"/>
      <c r="AD667" s="7"/>
      <c r="AE667" s="132"/>
      <c r="AF667" s="132"/>
      <c r="AG667" s="113"/>
    </row>
    <row r="668" spans="2:33">
      <c r="B668" s="7"/>
      <c r="C668" s="7"/>
      <c r="D668" s="7"/>
      <c r="E668" s="7"/>
      <c r="F668" s="7"/>
      <c r="G668" s="7"/>
      <c r="H668" s="7"/>
      <c r="I668" s="7"/>
      <c r="J668" s="7"/>
      <c r="K668" s="7"/>
      <c r="L668" s="7"/>
      <c r="M668" s="7"/>
      <c r="N668" s="7"/>
      <c r="O668" s="7"/>
      <c r="P668" s="7"/>
      <c r="Q668" s="7"/>
      <c r="R668" s="7"/>
      <c r="S668" s="7"/>
      <c r="T668" s="7"/>
      <c r="U668" s="7"/>
      <c r="V668" s="7"/>
      <c r="W668" s="7"/>
      <c r="X668" s="7"/>
      <c r="Y668" s="7"/>
      <c r="Z668" s="7"/>
      <c r="AA668" s="7"/>
      <c r="AB668" s="7"/>
      <c r="AC668" s="7"/>
      <c r="AD668" s="7"/>
      <c r="AE668" s="132"/>
      <c r="AF668" s="132"/>
      <c r="AG668" s="113"/>
    </row>
    <row r="669" spans="2:33">
      <c r="B669" s="7"/>
      <c r="C669" s="7"/>
      <c r="D669" s="7"/>
      <c r="E669" s="7"/>
      <c r="F669" s="7"/>
      <c r="G669" s="7"/>
      <c r="H669" s="7"/>
      <c r="I669" s="7"/>
      <c r="J669" s="7"/>
      <c r="K669" s="7"/>
      <c r="L669" s="7"/>
      <c r="M669" s="7"/>
      <c r="N669" s="7"/>
      <c r="O669" s="7"/>
      <c r="P669" s="7"/>
      <c r="Q669" s="7"/>
      <c r="R669" s="7"/>
      <c r="S669" s="7"/>
      <c r="T669" s="7"/>
      <c r="U669" s="7"/>
      <c r="V669" s="7"/>
      <c r="W669" s="7"/>
      <c r="X669" s="7"/>
      <c r="Y669" s="7"/>
      <c r="Z669" s="7"/>
      <c r="AA669" s="7"/>
      <c r="AB669" s="7"/>
      <c r="AC669" s="7"/>
      <c r="AD669" s="7"/>
      <c r="AE669" s="132"/>
      <c r="AF669" s="132"/>
      <c r="AG669" s="113"/>
    </row>
    <row r="670" spans="2:33">
      <c r="B670" s="7"/>
      <c r="C670" s="7"/>
      <c r="D670" s="7"/>
      <c r="E670" s="7"/>
      <c r="F670" s="7"/>
      <c r="G670" s="7"/>
      <c r="H670" s="7"/>
      <c r="I670" s="7"/>
      <c r="J670" s="7"/>
      <c r="K670" s="7"/>
      <c r="L670" s="7"/>
      <c r="M670" s="7"/>
      <c r="N670" s="7"/>
      <c r="O670" s="7"/>
      <c r="P670" s="7"/>
      <c r="Q670" s="7"/>
      <c r="R670" s="7"/>
      <c r="S670" s="7"/>
      <c r="T670" s="7"/>
      <c r="U670" s="7"/>
      <c r="V670" s="7"/>
      <c r="W670" s="7"/>
      <c r="X670" s="7"/>
      <c r="Y670" s="7"/>
      <c r="Z670" s="7"/>
      <c r="AA670" s="7"/>
      <c r="AB670" s="7"/>
      <c r="AC670" s="7"/>
      <c r="AD670" s="7"/>
      <c r="AE670" s="132"/>
      <c r="AF670" s="132"/>
      <c r="AG670" s="113"/>
    </row>
    <row r="671" spans="2:33">
      <c r="B671" s="7"/>
      <c r="C671" s="7"/>
      <c r="D671" s="7"/>
      <c r="E671" s="7"/>
      <c r="F671" s="7"/>
      <c r="G671" s="7"/>
      <c r="H671" s="7"/>
      <c r="I671" s="7"/>
      <c r="J671" s="7"/>
      <c r="K671" s="7"/>
      <c r="L671" s="7"/>
      <c r="M671" s="7"/>
      <c r="N671" s="7"/>
      <c r="O671" s="7"/>
      <c r="P671" s="7"/>
      <c r="Q671" s="7"/>
      <c r="R671" s="7"/>
      <c r="S671" s="7"/>
      <c r="T671" s="7"/>
      <c r="U671" s="7"/>
      <c r="V671" s="7"/>
      <c r="W671" s="7"/>
      <c r="X671" s="7"/>
      <c r="Y671" s="7"/>
      <c r="Z671" s="7"/>
      <c r="AA671" s="7"/>
      <c r="AB671" s="7"/>
      <c r="AC671" s="7"/>
      <c r="AD671" s="7"/>
      <c r="AE671" s="132"/>
      <c r="AF671" s="132"/>
      <c r="AG671" s="113"/>
    </row>
    <row r="672" spans="2:33">
      <c r="B672" s="7"/>
      <c r="C672" s="7"/>
      <c r="D672" s="7"/>
      <c r="E672" s="7"/>
      <c r="F672" s="7"/>
      <c r="G672" s="7"/>
      <c r="H672" s="7"/>
      <c r="I672" s="7"/>
      <c r="J672" s="7"/>
      <c r="K672" s="7"/>
      <c r="L672" s="7"/>
      <c r="M672" s="7"/>
      <c r="N672" s="7"/>
      <c r="O672" s="7"/>
      <c r="P672" s="7"/>
      <c r="Q672" s="7"/>
      <c r="R672" s="7"/>
      <c r="S672" s="7"/>
      <c r="T672" s="7"/>
      <c r="U672" s="7"/>
      <c r="V672" s="7"/>
      <c r="W672" s="7"/>
      <c r="X672" s="7"/>
      <c r="Y672" s="7"/>
      <c r="Z672" s="7"/>
      <c r="AA672" s="7"/>
      <c r="AB672" s="7"/>
      <c r="AC672" s="7"/>
      <c r="AD672" s="7"/>
      <c r="AE672" s="132"/>
      <c r="AF672" s="132"/>
      <c r="AG672" s="113"/>
    </row>
    <row r="673" spans="2:33">
      <c r="B673" s="7"/>
      <c r="C673" s="7"/>
      <c r="D673" s="7"/>
      <c r="E673" s="7"/>
      <c r="F673" s="7"/>
      <c r="G673" s="7"/>
      <c r="H673" s="7"/>
      <c r="I673" s="7"/>
      <c r="J673" s="7"/>
      <c r="K673" s="7"/>
      <c r="L673" s="7"/>
      <c r="M673" s="7"/>
      <c r="N673" s="7"/>
      <c r="O673" s="7"/>
      <c r="P673" s="7"/>
      <c r="Q673" s="7"/>
      <c r="R673" s="7"/>
      <c r="S673" s="7"/>
      <c r="T673" s="7"/>
      <c r="U673" s="7"/>
      <c r="V673" s="7"/>
      <c r="W673" s="7"/>
      <c r="X673" s="7"/>
      <c r="Y673" s="7"/>
      <c r="Z673" s="7"/>
      <c r="AA673" s="7"/>
      <c r="AB673" s="7"/>
      <c r="AC673" s="7"/>
      <c r="AD673" s="7"/>
      <c r="AE673" s="132"/>
      <c r="AF673" s="132"/>
      <c r="AG673" s="113"/>
    </row>
    <row r="674" spans="2:33">
      <c r="B674" s="7"/>
      <c r="C674" s="7"/>
      <c r="D674" s="7"/>
      <c r="E674" s="7"/>
      <c r="F674" s="7"/>
      <c r="G674" s="7"/>
      <c r="H674" s="7"/>
      <c r="I674" s="7"/>
      <c r="J674" s="7"/>
      <c r="K674" s="7"/>
      <c r="L674" s="7"/>
      <c r="M674" s="7"/>
      <c r="N674" s="7"/>
      <c r="O674" s="7"/>
      <c r="P674" s="7"/>
      <c r="Q674" s="7"/>
      <c r="R674" s="7"/>
      <c r="S674" s="7"/>
      <c r="T674" s="7"/>
      <c r="U674" s="7"/>
      <c r="V674" s="7"/>
      <c r="W674" s="7"/>
      <c r="X674" s="7"/>
      <c r="Y674" s="7"/>
      <c r="Z674" s="7"/>
      <c r="AA674" s="7"/>
      <c r="AB674" s="7"/>
      <c r="AC674" s="7"/>
      <c r="AD674" s="7"/>
      <c r="AE674" s="132"/>
      <c r="AF674" s="132"/>
      <c r="AG674" s="113"/>
    </row>
    <row r="675" spans="2:33">
      <c r="B675" s="7"/>
      <c r="C675" s="7"/>
      <c r="D675" s="7"/>
      <c r="E675" s="7"/>
      <c r="F675" s="7"/>
      <c r="G675" s="7"/>
      <c r="H675" s="7"/>
      <c r="I675" s="7"/>
      <c r="J675" s="7"/>
      <c r="K675" s="7"/>
      <c r="L675" s="7"/>
      <c r="M675" s="7"/>
      <c r="N675" s="7"/>
      <c r="O675" s="7"/>
      <c r="P675" s="7"/>
      <c r="Q675" s="7"/>
      <c r="R675" s="7"/>
      <c r="S675" s="7"/>
      <c r="T675" s="7"/>
      <c r="U675" s="7"/>
      <c r="V675" s="7"/>
      <c r="W675" s="7"/>
      <c r="X675" s="7"/>
      <c r="Y675" s="7"/>
      <c r="Z675" s="7"/>
      <c r="AA675" s="7"/>
      <c r="AB675" s="7"/>
      <c r="AC675" s="7"/>
      <c r="AD675" s="7"/>
      <c r="AE675" s="132"/>
      <c r="AF675" s="132"/>
      <c r="AG675" s="113"/>
    </row>
    <row r="676" spans="2:33">
      <c r="B676" s="7"/>
      <c r="C676" s="7"/>
      <c r="D676" s="7"/>
      <c r="E676" s="7"/>
      <c r="F676" s="7"/>
      <c r="G676" s="7"/>
      <c r="H676" s="7"/>
      <c r="I676" s="7"/>
      <c r="J676" s="7"/>
      <c r="K676" s="7"/>
      <c r="L676" s="7"/>
      <c r="M676" s="7"/>
      <c r="N676" s="7"/>
      <c r="O676" s="7"/>
      <c r="P676" s="7"/>
      <c r="Q676" s="7"/>
      <c r="R676" s="7"/>
      <c r="S676" s="7"/>
      <c r="T676" s="7"/>
      <c r="U676" s="7"/>
      <c r="V676" s="7"/>
      <c r="W676" s="7"/>
      <c r="X676" s="7"/>
      <c r="Y676" s="7"/>
      <c r="Z676" s="7"/>
      <c r="AA676" s="7"/>
      <c r="AB676" s="7"/>
      <c r="AC676" s="7"/>
      <c r="AD676" s="7"/>
      <c r="AE676" s="132"/>
      <c r="AF676" s="132"/>
      <c r="AG676" s="113"/>
    </row>
    <row r="677" spans="2:33">
      <c r="B677" s="7"/>
      <c r="C677" s="7"/>
      <c r="D677" s="7"/>
      <c r="E677" s="7"/>
      <c r="F677" s="7"/>
      <c r="G677" s="7"/>
      <c r="H677" s="7"/>
      <c r="I677" s="7"/>
      <c r="J677" s="7"/>
      <c r="K677" s="7"/>
      <c r="L677" s="7"/>
      <c r="M677" s="7"/>
      <c r="N677" s="7"/>
      <c r="O677" s="7"/>
      <c r="P677" s="7"/>
      <c r="Q677" s="7"/>
      <c r="R677" s="7"/>
      <c r="S677" s="7"/>
      <c r="T677" s="7"/>
      <c r="U677" s="7"/>
      <c r="V677" s="7"/>
      <c r="W677" s="7"/>
      <c r="X677" s="7"/>
      <c r="Y677" s="7"/>
      <c r="Z677" s="7"/>
      <c r="AA677" s="7"/>
      <c r="AB677" s="7"/>
      <c r="AC677" s="7"/>
      <c r="AD677" s="7"/>
      <c r="AE677" s="132"/>
      <c r="AF677" s="132"/>
      <c r="AG677" s="113"/>
    </row>
    <row r="678" spans="2:33">
      <c r="B678" s="7"/>
      <c r="C678" s="7"/>
      <c r="D678" s="7"/>
      <c r="E678" s="7"/>
      <c r="F678" s="7"/>
      <c r="G678" s="7"/>
      <c r="H678" s="7"/>
      <c r="I678" s="7"/>
      <c r="J678" s="7"/>
      <c r="K678" s="7"/>
      <c r="L678" s="7"/>
      <c r="M678" s="7"/>
      <c r="N678" s="7"/>
      <c r="O678" s="7"/>
      <c r="P678" s="7"/>
      <c r="Q678" s="7"/>
      <c r="R678" s="7"/>
      <c r="S678" s="7"/>
      <c r="T678" s="7"/>
      <c r="U678" s="7"/>
      <c r="V678" s="7"/>
      <c r="W678" s="7"/>
      <c r="X678" s="7"/>
      <c r="Y678" s="7"/>
      <c r="Z678" s="7"/>
      <c r="AA678" s="7"/>
      <c r="AB678" s="7"/>
      <c r="AC678" s="7"/>
      <c r="AD678" s="7"/>
      <c r="AE678" s="132"/>
      <c r="AF678" s="132"/>
      <c r="AG678" s="113"/>
    </row>
    <row r="679" spans="2:33">
      <c r="B679" s="7"/>
      <c r="C679" s="7"/>
      <c r="D679" s="7"/>
      <c r="E679" s="7"/>
      <c r="F679" s="7"/>
      <c r="G679" s="7"/>
      <c r="H679" s="7"/>
      <c r="I679" s="7"/>
      <c r="J679" s="7"/>
      <c r="K679" s="7"/>
      <c r="L679" s="7"/>
      <c r="M679" s="7"/>
      <c r="N679" s="7"/>
      <c r="O679" s="7"/>
      <c r="P679" s="7"/>
      <c r="Q679" s="7"/>
      <c r="R679" s="7"/>
      <c r="S679" s="7"/>
      <c r="T679" s="7"/>
      <c r="U679" s="7"/>
      <c r="V679" s="7"/>
      <c r="W679" s="7"/>
      <c r="X679" s="7"/>
      <c r="Y679" s="7"/>
      <c r="Z679" s="7"/>
      <c r="AA679" s="7"/>
      <c r="AB679" s="7"/>
      <c r="AC679" s="7"/>
      <c r="AD679" s="7"/>
      <c r="AE679" s="132"/>
      <c r="AF679" s="132"/>
      <c r="AG679" s="113"/>
    </row>
    <row r="680" spans="2:33">
      <c r="B680" s="7"/>
      <c r="C680" s="7"/>
      <c r="D680" s="7"/>
      <c r="E680" s="7"/>
      <c r="F680" s="7"/>
      <c r="G680" s="7"/>
      <c r="H680" s="7"/>
      <c r="I680" s="7"/>
      <c r="J680" s="7"/>
      <c r="K680" s="7"/>
      <c r="L680" s="7"/>
      <c r="M680" s="7"/>
      <c r="N680" s="7"/>
      <c r="O680" s="7"/>
      <c r="P680" s="7"/>
      <c r="Q680" s="7"/>
      <c r="R680" s="7"/>
      <c r="S680" s="7"/>
      <c r="T680" s="7"/>
      <c r="U680" s="7"/>
      <c r="V680" s="7"/>
      <c r="W680" s="7"/>
      <c r="X680" s="7"/>
      <c r="Y680" s="7"/>
      <c r="Z680" s="7"/>
      <c r="AA680" s="7"/>
      <c r="AB680" s="7"/>
      <c r="AC680" s="7"/>
      <c r="AD680" s="7"/>
      <c r="AE680" s="132"/>
      <c r="AF680" s="132"/>
      <c r="AG680" s="113"/>
    </row>
    <row r="681" spans="2:33">
      <c r="B681" s="7"/>
      <c r="C681" s="7"/>
      <c r="D681" s="7"/>
      <c r="E681" s="7"/>
      <c r="F681" s="7"/>
      <c r="G681" s="7"/>
      <c r="H681" s="7"/>
      <c r="I681" s="7"/>
      <c r="J681" s="7"/>
      <c r="K681" s="7"/>
      <c r="L681" s="7"/>
      <c r="M681" s="7"/>
      <c r="N681" s="7"/>
      <c r="O681" s="7"/>
      <c r="P681" s="7"/>
      <c r="Q681" s="7"/>
      <c r="R681" s="7"/>
      <c r="S681" s="7"/>
      <c r="T681" s="7"/>
      <c r="U681" s="7"/>
      <c r="V681" s="7"/>
      <c r="W681" s="7"/>
      <c r="X681" s="7"/>
      <c r="Y681" s="7"/>
      <c r="Z681" s="7"/>
      <c r="AA681" s="7"/>
      <c r="AB681" s="7"/>
      <c r="AC681" s="7"/>
      <c r="AD681" s="7"/>
      <c r="AE681" s="132"/>
      <c r="AF681" s="132"/>
      <c r="AG681" s="113"/>
    </row>
    <row r="682" spans="2:33">
      <c r="B682" s="7"/>
      <c r="C682" s="7"/>
      <c r="D682" s="7"/>
      <c r="E682" s="7"/>
      <c r="F682" s="7"/>
      <c r="G682" s="7"/>
      <c r="H682" s="7"/>
      <c r="I682" s="7"/>
      <c r="J682" s="7"/>
      <c r="K682" s="7"/>
      <c r="L682" s="7"/>
      <c r="M682" s="7"/>
      <c r="N682" s="7"/>
      <c r="O682" s="7"/>
      <c r="P682" s="7"/>
      <c r="Q682" s="7"/>
      <c r="R682" s="7"/>
      <c r="S682" s="7"/>
      <c r="T682" s="7"/>
      <c r="U682" s="7"/>
      <c r="V682" s="7"/>
      <c r="W682" s="7"/>
      <c r="X682" s="7"/>
      <c r="Y682" s="7"/>
      <c r="Z682" s="7"/>
      <c r="AA682" s="7"/>
      <c r="AB682" s="7"/>
      <c r="AC682" s="7"/>
      <c r="AD682" s="7"/>
      <c r="AE682" s="132"/>
      <c r="AF682" s="132"/>
      <c r="AG682" s="113"/>
    </row>
    <row r="683" spans="2:33">
      <c r="B683" s="7"/>
      <c r="C683" s="7"/>
      <c r="D683" s="7"/>
      <c r="E683" s="7"/>
      <c r="F683" s="7"/>
      <c r="G683" s="7"/>
      <c r="H683" s="7"/>
      <c r="I683" s="7"/>
      <c r="J683" s="7"/>
      <c r="K683" s="7"/>
      <c r="L683" s="7"/>
      <c r="M683" s="7"/>
      <c r="N683" s="7"/>
      <c r="O683" s="7"/>
      <c r="P683" s="7"/>
      <c r="Q683" s="7"/>
      <c r="R683" s="7"/>
      <c r="S683" s="7"/>
      <c r="T683" s="7"/>
      <c r="U683" s="7"/>
      <c r="V683" s="7"/>
      <c r="W683" s="7"/>
      <c r="X683" s="7"/>
      <c r="Y683" s="7"/>
      <c r="Z683" s="7"/>
      <c r="AA683" s="7"/>
      <c r="AB683" s="7"/>
      <c r="AC683" s="7"/>
      <c r="AD683" s="7"/>
      <c r="AE683" s="132"/>
      <c r="AF683" s="132"/>
      <c r="AG683" s="113"/>
    </row>
    <row r="684" spans="2:33">
      <c r="B684" s="7"/>
      <c r="C684" s="7"/>
      <c r="D684" s="7"/>
      <c r="E684" s="7"/>
      <c r="F684" s="7"/>
      <c r="G684" s="7"/>
      <c r="H684" s="7"/>
      <c r="I684" s="7"/>
      <c r="J684" s="7"/>
      <c r="K684" s="7"/>
      <c r="L684" s="7"/>
      <c r="M684" s="7"/>
      <c r="N684" s="7"/>
      <c r="O684" s="7"/>
      <c r="P684" s="7"/>
      <c r="Q684" s="7"/>
      <c r="R684" s="7"/>
      <c r="S684" s="7"/>
      <c r="T684" s="7"/>
      <c r="U684" s="7"/>
      <c r="V684" s="7"/>
      <c r="W684" s="7"/>
      <c r="X684" s="7"/>
      <c r="Y684" s="7"/>
      <c r="Z684" s="7"/>
      <c r="AA684" s="7"/>
      <c r="AB684" s="7"/>
      <c r="AC684" s="7"/>
      <c r="AD684" s="7"/>
      <c r="AE684" s="132"/>
      <c r="AF684" s="132"/>
      <c r="AG684" s="113"/>
    </row>
    <row r="685" spans="2:33">
      <c r="B685" s="7"/>
      <c r="C685" s="7"/>
      <c r="D685" s="7"/>
      <c r="E685" s="7"/>
      <c r="F685" s="7"/>
      <c r="G685" s="7"/>
      <c r="H685" s="7"/>
      <c r="I685" s="7"/>
      <c r="J685" s="7"/>
      <c r="K685" s="7"/>
      <c r="L685" s="7"/>
      <c r="M685" s="7"/>
      <c r="N685" s="7"/>
      <c r="O685" s="7"/>
      <c r="P685" s="7"/>
      <c r="Q685" s="7"/>
      <c r="R685" s="7"/>
      <c r="S685" s="7"/>
      <c r="T685" s="7"/>
      <c r="U685" s="7"/>
      <c r="V685" s="7"/>
      <c r="W685" s="7"/>
      <c r="X685" s="7"/>
      <c r="Y685" s="7"/>
      <c r="Z685" s="7"/>
      <c r="AA685" s="7"/>
      <c r="AB685" s="7"/>
      <c r="AC685" s="7"/>
      <c r="AD685" s="7"/>
      <c r="AE685" s="132"/>
      <c r="AF685" s="132"/>
      <c r="AG685" s="113"/>
    </row>
    <row r="686" spans="2:33">
      <c r="B686" s="7"/>
      <c r="C686" s="7"/>
      <c r="D686" s="7"/>
      <c r="E686" s="7"/>
      <c r="F686" s="7"/>
      <c r="G686" s="7"/>
      <c r="H686" s="7"/>
      <c r="I686" s="7"/>
      <c r="J686" s="7"/>
      <c r="K686" s="7"/>
      <c r="L686" s="7"/>
      <c r="M686" s="7"/>
      <c r="N686" s="7"/>
      <c r="O686" s="7"/>
      <c r="P686" s="7"/>
      <c r="Q686" s="7"/>
      <c r="R686" s="7"/>
      <c r="S686" s="7"/>
      <c r="T686" s="7"/>
      <c r="U686" s="7"/>
      <c r="V686" s="7"/>
      <c r="W686" s="7"/>
      <c r="X686" s="7"/>
      <c r="Y686" s="7"/>
      <c r="Z686" s="7"/>
      <c r="AA686" s="7"/>
      <c r="AB686" s="7"/>
      <c r="AC686" s="7"/>
      <c r="AD686" s="7"/>
      <c r="AE686" s="132"/>
      <c r="AF686" s="132"/>
      <c r="AG686" s="113"/>
    </row>
    <row r="687" spans="2:33">
      <c r="B687" s="7"/>
      <c r="C687" s="7"/>
      <c r="D687" s="7"/>
      <c r="E687" s="7"/>
      <c r="F687" s="7"/>
      <c r="G687" s="7"/>
      <c r="H687" s="7"/>
      <c r="I687" s="7"/>
      <c r="J687" s="7"/>
      <c r="K687" s="7"/>
      <c r="L687" s="7"/>
      <c r="M687" s="7"/>
      <c r="N687" s="7"/>
      <c r="O687" s="7"/>
      <c r="P687" s="7"/>
      <c r="Q687" s="7"/>
      <c r="R687" s="7"/>
      <c r="S687" s="7"/>
      <c r="T687" s="7"/>
      <c r="U687" s="7"/>
      <c r="V687" s="7"/>
      <c r="W687" s="7"/>
      <c r="X687" s="7"/>
      <c r="Y687" s="7"/>
      <c r="Z687" s="7"/>
      <c r="AA687" s="7"/>
      <c r="AB687" s="7"/>
      <c r="AC687" s="7"/>
      <c r="AD687" s="7"/>
      <c r="AE687" s="132"/>
      <c r="AF687" s="132"/>
      <c r="AG687" s="113"/>
    </row>
    <row r="688" spans="2:33">
      <c r="B688" s="7"/>
      <c r="C688" s="7"/>
      <c r="D688" s="7"/>
      <c r="E688" s="7"/>
      <c r="F688" s="7"/>
      <c r="G688" s="7"/>
      <c r="H688" s="7"/>
      <c r="I688" s="7"/>
      <c r="J688" s="7"/>
      <c r="K688" s="7"/>
      <c r="L688" s="7"/>
      <c r="M688" s="7"/>
      <c r="N688" s="7"/>
      <c r="O688" s="7"/>
      <c r="P688" s="7"/>
      <c r="Q688" s="7"/>
      <c r="R688" s="7"/>
      <c r="S688" s="7"/>
      <c r="T688" s="7"/>
      <c r="U688" s="7"/>
      <c r="V688" s="7"/>
      <c r="W688" s="7"/>
      <c r="X688" s="7"/>
      <c r="Y688" s="7"/>
      <c r="Z688" s="7"/>
      <c r="AA688" s="7"/>
      <c r="AB688" s="7"/>
      <c r="AC688" s="7"/>
      <c r="AD688" s="7"/>
      <c r="AE688" s="132"/>
      <c r="AF688" s="132"/>
      <c r="AG688" s="113"/>
    </row>
    <row r="689" spans="2:33">
      <c r="B689" s="7"/>
      <c r="C689" s="7"/>
      <c r="D689" s="7"/>
      <c r="E689" s="7"/>
      <c r="F689" s="7"/>
      <c r="G689" s="7"/>
      <c r="H689" s="7"/>
      <c r="I689" s="7"/>
      <c r="J689" s="7"/>
      <c r="K689" s="7"/>
      <c r="L689" s="7"/>
      <c r="M689" s="7"/>
      <c r="N689" s="7"/>
      <c r="O689" s="7"/>
      <c r="P689" s="7"/>
      <c r="Q689" s="7"/>
      <c r="R689" s="7"/>
      <c r="S689" s="7"/>
      <c r="T689" s="7"/>
      <c r="U689" s="7"/>
      <c r="V689" s="7"/>
      <c r="W689" s="7"/>
      <c r="X689" s="7"/>
      <c r="Y689" s="7"/>
      <c r="Z689" s="7"/>
      <c r="AA689" s="7"/>
      <c r="AB689" s="7"/>
      <c r="AC689" s="7"/>
      <c r="AD689" s="7"/>
      <c r="AE689" s="132"/>
      <c r="AF689" s="132"/>
      <c r="AG689" s="113"/>
    </row>
    <row r="690" spans="2:33">
      <c r="B690" s="7"/>
      <c r="C690" s="7"/>
      <c r="D690" s="7"/>
      <c r="E690" s="7"/>
      <c r="F690" s="7"/>
      <c r="G690" s="7"/>
      <c r="H690" s="7"/>
      <c r="I690" s="7"/>
      <c r="J690" s="7"/>
      <c r="K690" s="7"/>
      <c r="L690" s="7"/>
      <c r="M690" s="7"/>
      <c r="N690" s="7"/>
      <c r="O690" s="7"/>
      <c r="P690" s="7"/>
      <c r="Q690" s="7"/>
      <c r="R690" s="7"/>
      <c r="S690" s="7"/>
      <c r="T690" s="7"/>
      <c r="U690" s="7"/>
      <c r="V690" s="7"/>
      <c r="W690" s="7"/>
      <c r="X690" s="7"/>
      <c r="Y690" s="7"/>
      <c r="Z690" s="7"/>
      <c r="AA690" s="7"/>
      <c r="AB690" s="7"/>
      <c r="AC690" s="7"/>
      <c r="AD690" s="7"/>
      <c r="AE690" s="132"/>
      <c r="AF690" s="132"/>
      <c r="AG690" s="113"/>
    </row>
    <row r="691" spans="2:33">
      <c r="B691" s="7"/>
      <c r="C691" s="7"/>
      <c r="D691" s="7"/>
      <c r="E691" s="7"/>
      <c r="F691" s="7"/>
      <c r="G691" s="7"/>
      <c r="H691" s="7"/>
      <c r="I691" s="7"/>
      <c r="J691" s="7"/>
      <c r="K691" s="7"/>
      <c r="L691" s="7"/>
      <c r="M691" s="7"/>
      <c r="N691" s="7"/>
      <c r="O691" s="7"/>
      <c r="P691" s="7"/>
      <c r="Q691" s="7"/>
      <c r="R691" s="7"/>
      <c r="S691" s="7"/>
      <c r="T691" s="7"/>
      <c r="U691" s="7"/>
      <c r="V691" s="7"/>
      <c r="W691" s="7"/>
      <c r="X691" s="7"/>
      <c r="Y691" s="7"/>
      <c r="Z691" s="7"/>
      <c r="AA691" s="7"/>
      <c r="AB691" s="7"/>
      <c r="AC691" s="7"/>
      <c r="AD691" s="7"/>
      <c r="AE691" s="132"/>
      <c r="AF691" s="132"/>
      <c r="AG691" s="113"/>
    </row>
    <row r="692" spans="2:33">
      <c r="B692" s="7"/>
      <c r="C692" s="7"/>
      <c r="D692" s="7"/>
      <c r="E692" s="7"/>
      <c r="F692" s="7"/>
      <c r="G692" s="7"/>
      <c r="H692" s="7"/>
      <c r="I692" s="7"/>
      <c r="J692" s="7"/>
      <c r="K692" s="7"/>
      <c r="L692" s="7"/>
      <c r="M692" s="7"/>
      <c r="N692" s="7"/>
      <c r="O692" s="7"/>
      <c r="P692" s="7"/>
      <c r="Q692" s="7"/>
      <c r="R692" s="7"/>
      <c r="S692" s="7"/>
      <c r="T692" s="7"/>
      <c r="U692" s="7"/>
      <c r="V692" s="7"/>
      <c r="W692" s="7"/>
      <c r="X692" s="7"/>
      <c r="Y692" s="7"/>
      <c r="Z692" s="7"/>
      <c r="AA692" s="7"/>
      <c r="AB692" s="7"/>
      <c r="AC692" s="7"/>
      <c r="AD692" s="7"/>
      <c r="AE692" s="132"/>
      <c r="AF692" s="132"/>
      <c r="AG692" s="113"/>
    </row>
    <row r="693" spans="2:33">
      <c r="B693" s="7"/>
      <c r="C693" s="7"/>
      <c r="D693" s="7"/>
      <c r="E693" s="7"/>
      <c r="F693" s="7"/>
      <c r="G693" s="7"/>
      <c r="H693" s="7"/>
      <c r="I693" s="7"/>
      <c r="J693" s="7"/>
      <c r="K693" s="7"/>
      <c r="L693" s="7"/>
      <c r="M693" s="7"/>
      <c r="N693" s="7"/>
      <c r="O693" s="7"/>
      <c r="P693" s="7"/>
      <c r="Q693" s="7"/>
      <c r="R693" s="7"/>
      <c r="S693" s="7"/>
      <c r="T693" s="7"/>
      <c r="U693" s="7"/>
      <c r="V693" s="7"/>
      <c r="W693" s="7"/>
      <c r="X693" s="7"/>
      <c r="Y693" s="7"/>
      <c r="Z693" s="7"/>
      <c r="AA693" s="7"/>
      <c r="AB693" s="7"/>
      <c r="AC693" s="7"/>
      <c r="AD693" s="7"/>
      <c r="AE693" s="132"/>
      <c r="AF693" s="132"/>
      <c r="AG693" s="113"/>
    </row>
    <row r="694" spans="2:33">
      <c r="B694" s="7"/>
      <c r="C694" s="7"/>
      <c r="D694" s="7"/>
      <c r="E694" s="7"/>
      <c r="F694" s="7"/>
      <c r="G694" s="7"/>
      <c r="H694" s="7"/>
      <c r="I694" s="7"/>
      <c r="J694" s="7"/>
      <c r="K694" s="7"/>
      <c r="L694" s="7"/>
      <c r="M694" s="7"/>
      <c r="N694" s="7"/>
      <c r="O694" s="7"/>
      <c r="P694" s="7"/>
      <c r="Q694" s="7"/>
      <c r="R694" s="7"/>
      <c r="S694" s="7"/>
      <c r="T694" s="7"/>
      <c r="U694" s="7"/>
      <c r="V694" s="7"/>
      <c r="W694" s="7"/>
      <c r="X694" s="7"/>
      <c r="Y694" s="7"/>
      <c r="Z694" s="7"/>
      <c r="AA694" s="7"/>
      <c r="AB694" s="7"/>
      <c r="AC694" s="7"/>
      <c r="AD694" s="7"/>
      <c r="AE694" s="132"/>
      <c r="AF694" s="132"/>
      <c r="AG694" s="113"/>
    </row>
    <row r="695" spans="2:33">
      <c r="B695" s="7"/>
      <c r="C695" s="7"/>
      <c r="D695" s="7"/>
      <c r="E695" s="7"/>
      <c r="F695" s="7"/>
      <c r="G695" s="7"/>
      <c r="H695" s="7"/>
      <c r="I695" s="7"/>
      <c r="J695" s="7"/>
      <c r="K695" s="7"/>
      <c r="L695" s="7"/>
      <c r="M695" s="7"/>
      <c r="N695" s="7"/>
      <c r="O695" s="7"/>
      <c r="P695" s="7"/>
      <c r="Q695" s="7"/>
      <c r="R695" s="7"/>
      <c r="S695" s="7"/>
      <c r="T695" s="7"/>
      <c r="U695" s="7"/>
      <c r="V695" s="7"/>
      <c r="W695" s="7"/>
      <c r="X695" s="7"/>
      <c r="Y695" s="7"/>
      <c r="Z695" s="7"/>
      <c r="AA695" s="7"/>
      <c r="AB695" s="7"/>
      <c r="AC695" s="7"/>
      <c r="AD695" s="7"/>
      <c r="AE695" s="132"/>
      <c r="AF695" s="132"/>
      <c r="AG695" s="113"/>
    </row>
    <row r="696" spans="2:33">
      <c r="B696" s="7"/>
      <c r="C696" s="7"/>
      <c r="D696" s="7"/>
      <c r="E696" s="7"/>
      <c r="F696" s="7"/>
      <c r="G696" s="7"/>
      <c r="H696" s="7"/>
      <c r="I696" s="7"/>
      <c r="J696" s="7"/>
      <c r="K696" s="7"/>
      <c r="L696" s="7"/>
      <c r="M696" s="7"/>
      <c r="N696" s="7"/>
      <c r="O696" s="7"/>
      <c r="P696" s="7"/>
      <c r="Q696" s="7"/>
      <c r="R696" s="7"/>
      <c r="S696" s="7"/>
      <c r="T696" s="7"/>
      <c r="U696" s="7"/>
      <c r="V696" s="7"/>
      <c r="W696" s="7"/>
      <c r="X696" s="7"/>
      <c r="Y696" s="7"/>
      <c r="Z696" s="7"/>
      <c r="AA696" s="7"/>
      <c r="AB696" s="7"/>
      <c r="AC696" s="7"/>
      <c r="AD696" s="7"/>
      <c r="AE696" s="132"/>
      <c r="AF696" s="132"/>
      <c r="AG696" s="113"/>
    </row>
    <row r="697" spans="2:33">
      <c r="B697" s="7"/>
      <c r="C697" s="7"/>
      <c r="D697" s="7"/>
      <c r="E697" s="7"/>
      <c r="F697" s="7"/>
      <c r="G697" s="7"/>
      <c r="H697" s="7"/>
      <c r="I697" s="7"/>
      <c r="J697" s="7"/>
      <c r="K697" s="7"/>
      <c r="L697" s="7"/>
      <c r="M697" s="7"/>
      <c r="N697" s="7"/>
      <c r="O697" s="7"/>
      <c r="P697" s="7"/>
      <c r="Q697" s="7"/>
      <c r="R697" s="7"/>
      <c r="S697" s="7"/>
      <c r="T697" s="7"/>
      <c r="U697" s="7"/>
      <c r="V697" s="7"/>
      <c r="W697" s="7"/>
      <c r="X697" s="7"/>
      <c r="Y697" s="7"/>
      <c r="Z697" s="7"/>
      <c r="AA697" s="7"/>
      <c r="AB697" s="7"/>
      <c r="AC697" s="7"/>
      <c r="AD697" s="7"/>
      <c r="AE697" s="132"/>
      <c r="AF697" s="132"/>
      <c r="AG697" s="113"/>
    </row>
    <row r="698" spans="2:33">
      <c r="B698" s="7"/>
      <c r="C698" s="7"/>
      <c r="D698" s="7"/>
      <c r="E698" s="7"/>
      <c r="F698" s="7"/>
      <c r="G698" s="7"/>
      <c r="H698" s="7"/>
      <c r="I698" s="7"/>
      <c r="J698" s="7"/>
      <c r="K698" s="7"/>
      <c r="L698" s="7"/>
      <c r="M698" s="7"/>
      <c r="N698" s="7"/>
      <c r="O698" s="7"/>
      <c r="P698" s="7"/>
      <c r="Q698" s="7"/>
      <c r="R698" s="7"/>
      <c r="S698" s="7"/>
      <c r="T698" s="7"/>
      <c r="U698" s="7"/>
      <c r="V698" s="7"/>
      <c r="W698" s="7"/>
      <c r="X698" s="7"/>
      <c r="Y698" s="7"/>
      <c r="Z698" s="7"/>
      <c r="AA698" s="7"/>
      <c r="AB698" s="7"/>
      <c r="AC698" s="7"/>
      <c r="AD698" s="7"/>
      <c r="AE698" s="132"/>
      <c r="AF698" s="132"/>
      <c r="AG698" s="113"/>
    </row>
    <row r="699" spans="2:33">
      <c r="B699" s="7"/>
      <c r="C699" s="7"/>
      <c r="D699" s="7"/>
      <c r="E699" s="7"/>
      <c r="F699" s="7"/>
      <c r="G699" s="7"/>
      <c r="H699" s="7"/>
      <c r="I699" s="7"/>
      <c r="J699" s="7"/>
      <c r="K699" s="7"/>
      <c r="L699" s="7"/>
      <c r="M699" s="7"/>
      <c r="N699" s="7"/>
      <c r="O699" s="7"/>
      <c r="P699" s="7"/>
      <c r="Q699" s="7"/>
      <c r="R699" s="7"/>
      <c r="S699" s="7"/>
      <c r="T699" s="7"/>
      <c r="U699" s="7"/>
      <c r="V699" s="7"/>
      <c r="W699" s="7"/>
      <c r="X699" s="7"/>
      <c r="Y699" s="7"/>
      <c r="Z699" s="7"/>
      <c r="AA699" s="7"/>
      <c r="AB699" s="7"/>
      <c r="AC699" s="7"/>
      <c r="AD699" s="7"/>
      <c r="AE699" s="132"/>
      <c r="AF699" s="132"/>
      <c r="AG699" s="113"/>
    </row>
    <row r="700" spans="2:33">
      <c r="B700" s="7"/>
      <c r="C700" s="7"/>
      <c r="D700" s="7"/>
      <c r="E700" s="7"/>
      <c r="F700" s="7"/>
      <c r="G700" s="7"/>
      <c r="H700" s="7"/>
      <c r="I700" s="7"/>
      <c r="J700" s="7"/>
      <c r="K700" s="7"/>
      <c r="L700" s="7"/>
      <c r="M700" s="7"/>
      <c r="N700" s="7"/>
      <c r="O700" s="7"/>
      <c r="P700" s="7"/>
      <c r="Q700" s="7"/>
      <c r="R700" s="7"/>
      <c r="S700" s="7"/>
      <c r="T700" s="7"/>
      <c r="U700" s="7"/>
      <c r="V700" s="7"/>
      <c r="W700" s="7"/>
      <c r="X700" s="7"/>
      <c r="Y700" s="7"/>
      <c r="Z700" s="7"/>
      <c r="AA700" s="7"/>
      <c r="AB700" s="7"/>
      <c r="AC700" s="7"/>
      <c r="AD700" s="7"/>
      <c r="AE700" s="132"/>
      <c r="AF700" s="132"/>
      <c r="AG700" s="113"/>
    </row>
    <row r="701" spans="2:33">
      <c r="B701" s="7"/>
      <c r="C701" s="7"/>
      <c r="D701" s="7"/>
      <c r="E701" s="7"/>
      <c r="F701" s="7"/>
      <c r="G701" s="7"/>
      <c r="H701" s="7"/>
      <c r="I701" s="7"/>
      <c r="J701" s="7"/>
      <c r="K701" s="7"/>
      <c r="L701" s="7"/>
      <c r="M701" s="7"/>
      <c r="N701" s="7"/>
      <c r="O701" s="7"/>
      <c r="P701" s="7"/>
      <c r="Q701" s="7"/>
      <c r="R701" s="7"/>
      <c r="S701" s="7"/>
      <c r="T701" s="7"/>
      <c r="U701" s="7"/>
      <c r="V701" s="7"/>
      <c r="W701" s="7"/>
      <c r="X701" s="7"/>
      <c r="Y701" s="7"/>
      <c r="Z701" s="7"/>
      <c r="AA701" s="7"/>
      <c r="AB701" s="7"/>
      <c r="AC701" s="7"/>
      <c r="AD701" s="7"/>
      <c r="AE701" s="132"/>
      <c r="AF701" s="132"/>
      <c r="AG701" s="113"/>
    </row>
    <row r="702" spans="2:33">
      <c r="B702" s="7"/>
      <c r="C702" s="7"/>
      <c r="D702" s="7"/>
      <c r="E702" s="7"/>
      <c r="F702" s="7"/>
      <c r="G702" s="7"/>
      <c r="H702" s="7"/>
      <c r="I702" s="7"/>
      <c r="J702" s="7"/>
      <c r="K702" s="7"/>
      <c r="L702" s="7"/>
      <c r="M702" s="7"/>
      <c r="N702" s="7"/>
      <c r="O702" s="7"/>
      <c r="P702" s="7"/>
      <c r="Q702" s="7"/>
      <c r="R702" s="7"/>
      <c r="S702" s="7"/>
      <c r="T702" s="7"/>
      <c r="U702" s="7"/>
      <c r="V702" s="7"/>
      <c r="W702" s="7"/>
      <c r="X702" s="7"/>
      <c r="Y702" s="7"/>
      <c r="Z702" s="7"/>
      <c r="AA702" s="7"/>
      <c r="AB702" s="7"/>
      <c r="AC702" s="7"/>
      <c r="AD702" s="7"/>
      <c r="AE702" s="132"/>
      <c r="AF702" s="132"/>
      <c r="AG702" s="113"/>
    </row>
    <row r="703" spans="2:33">
      <c r="B703" s="7"/>
      <c r="C703" s="7"/>
      <c r="D703" s="7"/>
      <c r="E703" s="7"/>
      <c r="F703" s="7"/>
      <c r="G703" s="7"/>
      <c r="H703" s="7"/>
      <c r="I703" s="7"/>
      <c r="J703" s="7"/>
      <c r="K703" s="7"/>
      <c r="L703" s="7"/>
      <c r="M703" s="7"/>
      <c r="N703" s="7"/>
      <c r="O703" s="7"/>
      <c r="P703" s="7"/>
      <c r="Q703" s="7"/>
      <c r="R703" s="7"/>
      <c r="S703" s="7"/>
      <c r="T703" s="7"/>
      <c r="U703" s="7"/>
      <c r="V703" s="7"/>
      <c r="W703" s="7"/>
      <c r="X703" s="7"/>
      <c r="Y703" s="7"/>
      <c r="Z703" s="7"/>
      <c r="AA703" s="7"/>
      <c r="AB703" s="7"/>
      <c r="AC703" s="7"/>
      <c r="AD703" s="7"/>
      <c r="AE703" s="132"/>
      <c r="AF703" s="132"/>
      <c r="AG703" s="113"/>
    </row>
    <row r="704" spans="2:33">
      <c r="B704" s="7"/>
      <c r="C704" s="7"/>
      <c r="D704" s="7"/>
      <c r="E704" s="7"/>
      <c r="F704" s="7"/>
      <c r="G704" s="7"/>
      <c r="H704" s="7"/>
      <c r="I704" s="7"/>
      <c r="J704" s="7"/>
      <c r="K704" s="7"/>
      <c r="L704" s="7"/>
      <c r="M704" s="7"/>
      <c r="N704" s="7"/>
      <c r="O704" s="7"/>
      <c r="P704" s="7"/>
      <c r="Q704" s="7"/>
      <c r="R704" s="7"/>
      <c r="S704" s="7"/>
      <c r="T704" s="7"/>
      <c r="U704" s="7"/>
      <c r="V704" s="7"/>
      <c r="W704" s="7"/>
      <c r="X704" s="7"/>
      <c r="Y704" s="7"/>
      <c r="Z704" s="7"/>
      <c r="AA704" s="7"/>
      <c r="AB704" s="7"/>
      <c r="AC704" s="7"/>
      <c r="AD704" s="7"/>
      <c r="AE704" s="132"/>
      <c r="AF704" s="132"/>
      <c r="AG704" s="113"/>
    </row>
    <row r="705" spans="2:33">
      <c r="B705" s="7"/>
      <c r="C705" s="7"/>
      <c r="D705" s="7"/>
      <c r="E705" s="7"/>
      <c r="F705" s="7"/>
      <c r="G705" s="7"/>
      <c r="H705" s="7"/>
      <c r="I705" s="7"/>
      <c r="J705" s="7"/>
      <c r="K705" s="7"/>
      <c r="L705" s="7"/>
      <c r="M705" s="7"/>
      <c r="N705" s="7"/>
      <c r="O705" s="7"/>
      <c r="P705" s="7"/>
      <c r="Q705" s="7"/>
      <c r="R705" s="7"/>
      <c r="S705" s="7"/>
      <c r="T705" s="7"/>
      <c r="U705" s="7"/>
      <c r="V705" s="7"/>
      <c r="W705" s="7"/>
      <c r="X705" s="7"/>
      <c r="Y705" s="7"/>
      <c r="Z705" s="7"/>
      <c r="AA705" s="7"/>
      <c r="AB705" s="7"/>
      <c r="AC705" s="7"/>
      <c r="AD705" s="7"/>
      <c r="AE705" s="132"/>
      <c r="AF705" s="132"/>
      <c r="AG705" s="113"/>
    </row>
    <row r="706" spans="2:33">
      <c r="B706" s="7"/>
      <c r="C706" s="7"/>
      <c r="D706" s="7"/>
      <c r="E706" s="7"/>
      <c r="F706" s="7"/>
      <c r="G706" s="7"/>
      <c r="H706" s="7"/>
      <c r="I706" s="7"/>
      <c r="J706" s="7"/>
      <c r="K706" s="7"/>
      <c r="L706" s="7"/>
      <c r="M706" s="7"/>
      <c r="N706" s="7"/>
      <c r="O706" s="7"/>
      <c r="P706" s="7"/>
      <c r="Q706" s="7"/>
      <c r="R706" s="7"/>
      <c r="S706" s="7"/>
      <c r="T706" s="7"/>
      <c r="U706" s="7"/>
      <c r="V706" s="7"/>
      <c r="W706" s="7"/>
      <c r="X706" s="7"/>
      <c r="Y706" s="7"/>
      <c r="Z706" s="7"/>
      <c r="AA706" s="7"/>
      <c r="AB706" s="7"/>
      <c r="AC706" s="7"/>
      <c r="AD706" s="7"/>
      <c r="AE706" s="132"/>
      <c r="AF706" s="132"/>
      <c r="AG706" s="113"/>
    </row>
    <row r="707" spans="2:33">
      <c r="B707" s="7"/>
      <c r="C707" s="7"/>
      <c r="D707" s="7"/>
      <c r="E707" s="7"/>
      <c r="F707" s="7"/>
      <c r="G707" s="7"/>
      <c r="H707" s="7"/>
      <c r="I707" s="7"/>
      <c r="J707" s="7"/>
      <c r="K707" s="7"/>
      <c r="L707" s="7"/>
      <c r="M707" s="7"/>
      <c r="N707" s="7"/>
      <c r="O707" s="7"/>
      <c r="P707" s="7"/>
      <c r="Q707" s="7"/>
      <c r="R707" s="7"/>
      <c r="S707" s="7"/>
      <c r="T707" s="7"/>
      <c r="U707" s="7"/>
      <c r="V707" s="7"/>
      <c r="W707" s="7"/>
      <c r="X707" s="7"/>
      <c r="Y707" s="7"/>
      <c r="Z707" s="7"/>
      <c r="AA707" s="7"/>
      <c r="AB707" s="7"/>
      <c r="AC707" s="7"/>
      <c r="AD707" s="7"/>
      <c r="AE707" s="132"/>
      <c r="AF707" s="132"/>
      <c r="AG707" s="113"/>
    </row>
    <row r="708" spans="2:33">
      <c r="B708" s="7"/>
      <c r="C708" s="7"/>
      <c r="D708" s="7"/>
      <c r="E708" s="7"/>
      <c r="F708" s="7"/>
      <c r="G708" s="7"/>
      <c r="H708" s="7"/>
      <c r="I708" s="7"/>
      <c r="J708" s="7"/>
      <c r="K708" s="7"/>
      <c r="L708" s="7"/>
      <c r="M708" s="7"/>
      <c r="N708" s="7"/>
      <c r="O708" s="7"/>
      <c r="P708" s="7"/>
      <c r="Q708" s="7"/>
      <c r="R708" s="7"/>
      <c r="S708" s="7"/>
      <c r="T708" s="7"/>
      <c r="U708" s="7"/>
      <c r="V708" s="7"/>
      <c r="W708" s="7"/>
      <c r="X708" s="7"/>
      <c r="Y708" s="7"/>
      <c r="Z708" s="7"/>
      <c r="AA708" s="7"/>
      <c r="AB708" s="7"/>
      <c r="AC708" s="7"/>
      <c r="AD708" s="7"/>
      <c r="AE708" s="132"/>
      <c r="AF708" s="132"/>
      <c r="AG708" s="113"/>
    </row>
    <row r="709" spans="2:33">
      <c r="B709" s="7"/>
      <c r="C709" s="7"/>
      <c r="D709" s="7"/>
      <c r="E709" s="7"/>
      <c r="F709" s="7"/>
      <c r="G709" s="7"/>
      <c r="H709" s="7"/>
      <c r="I709" s="7"/>
      <c r="J709" s="7"/>
      <c r="K709" s="7"/>
      <c r="L709" s="7"/>
      <c r="M709" s="7"/>
      <c r="N709" s="7"/>
      <c r="O709" s="7"/>
      <c r="P709" s="7"/>
      <c r="Q709" s="7"/>
      <c r="R709" s="7"/>
      <c r="S709" s="7"/>
      <c r="T709" s="7"/>
      <c r="U709" s="7"/>
      <c r="V709" s="7"/>
      <c r="W709" s="7"/>
      <c r="X709" s="7"/>
      <c r="Y709" s="7"/>
      <c r="Z709" s="7"/>
      <c r="AA709" s="7"/>
      <c r="AB709" s="7"/>
      <c r="AC709" s="7"/>
      <c r="AD709" s="7"/>
      <c r="AE709" s="132"/>
      <c r="AF709" s="132"/>
      <c r="AG709" s="113"/>
    </row>
    <row r="710" spans="2:33">
      <c r="B710" s="7"/>
      <c r="C710" s="7"/>
      <c r="D710" s="7"/>
      <c r="E710" s="7"/>
      <c r="F710" s="7"/>
      <c r="G710" s="7"/>
      <c r="H710" s="7"/>
      <c r="I710" s="7"/>
      <c r="J710" s="7"/>
      <c r="K710" s="7"/>
      <c r="L710" s="7"/>
      <c r="M710" s="7"/>
      <c r="N710" s="7"/>
      <c r="O710" s="7"/>
      <c r="P710" s="7"/>
      <c r="Q710" s="7"/>
      <c r="R710" s="7"/>
      <c r="S710" s="7"/>
      <c r="T710" s="7"/>
      <c r="U710" s="7"/>
      <c r="V710" s="7"/>
      <c r="W710" s="7"/>
      <c r="X710" s="7"/>
      <c r="Y710" s="7"/>
      <c r="Z710" s="7"/>
      <c r="AA710" s="7"/>
      <c r="AB710" s="7"/>
      <c r="AC710" s="7"/>
      <c r="AD710" s="7"/>
      <c r="AE710" s="132"/>
      <c r="AF710" s="132"/>
      <c r="AG710" s="113"/>
    </row>
    <row r="711" spans="2:33">
      <c r="B711" s="7"/>
      <c r="C711" s="7"/>
      <c r="D711" s="7"/>
      <c r="E711" s="7"/>
      <c r="F711" s="7"/>
      <c r="G711" s="7"/>
      <c r="H711" s="7"/>
      <c r="I711" s="7"/>
      <c r="J711" s="7"/>
      <c r="K711" s="7"/>
      <c r="L711" s="7"/>
      <c r="M711" s="7"/>
      <c r="N711" s="7"/>
      <c r="O711" s="7"/>
      <c r="P711" s="7"/>
      <c r="Q711" s="7"/>
      <c r="R711" s="7"/>
      <c r="S711" s="7"/>
      <c r="T711" s="7"/>
      <c r="U711" s="7"/>
      <c r="V711" s="7"/>
      <c r="W711" s="7"/>
      <c r="X711" s="7"/>
      <c r="Y711" s="7"/>
      <c r="Z711" s="7"/>
      <c r="AA711" s="7"/>
      <c r="AB711" s="7"/>
      <c r="AC711" s="7"/>
      <c r="AD711" s="7"/>
      <c r="AE711" s="132"/>
      <c r="AF711" s="132"/>
      <c r="AG711" s="113"/>
    </row>
    <row r="712" spans="2:33">
      <c r="B712" s="7"/>
      <c r="C712" s="7"/>
      <c r="D712" s="7"/>
      <c r="E712" s="7"/>
      <c r="F712" s="7"/>
      <c r="G712" s="7"/>
      <c r="H712" s="7"/>
      <c r="I712" s="7"/>
      <c r="J712" s="7"/>
      <c r="K712" s="7"/>
      <c r="L712" s="7"/>
      <c r="M712" s="7"/>
      <c r="N712" s="7"/>
      <c r="O712" s="7"/>
      <c r="P712" s="7"/>
      <c r="Q712" s="7"/>
      <c r="R712" s="7"/>
      <c r="S712" s="7"/>
      <c r="T712" s="7"/>
      <c r="U712" s="7"/>
      <c r="V712" s="7"/>
      <c r="W712" s="7"/>
      <c r="X712" s="7"/>
      <c r="Y712" s="7"/>
      <c r="Z712" s="7"/>
      <c r="AA712" s="7"/>
      <c r="AB712" s="7"/>
      <c r="AC712" s="7"/>
      <c r="AD712" s="7"/>
      <c r="AE712" s="132"/>
      <c r="AF712" s="132"/>
      <c r="AG712" s="113"/>
    </row>
    <row r="713" spans="2:33">
      <c r="B713" s="7"/>
      <c r="C713" s="7"/>
      <c r="D713" s="7"/>
      <c r="E713" s="7"/>
      <c r="F713" s="7"/>
      <c r="G713" s="7"/>
      <c r="H713" s="7"/>
      <c r="I713" s="7"/>
      <c r="J713" s="7"/>
      <c r="K713" s="7"/>
      <c r="L713" s="7"/>
      <c r="M713" s="7"/>
      <c r="N713" s="7"/>
      <c r="O713" s="7"/>
      <c r="P713" s="7"/>
      <c r="Q713" s="7"/>
      <c r="R713" s="7"/>
      <c r="S713" s="7"/>
      <c r="T713" s="7"/>
      <c r="U713" s="7"/>
      <c r="V713" s="7"/>
      <c r="W713" s="7"/>
      <c r="X713" s="7"/>
      <c r="Y713" s="7"/>
      <c r="Z713" s="7"/>
      <c r="AA713" s="7"/>
      <c r="AB713" s="7"/>
      <c r="AC713" s="7"/>
      <c r="AD713" s="7"/>
      <c r="AE713" s="132"/>
      <c r="AF713" s="132"/>
      <c r="AG713" s="113"/>
    </row>
    <row r="714" spans="2:33">
      <c r="B714" s="7"/>
      <c r="C714" s="7"/>
      <c r="D714" s="7"/>
      <c r="E714" s="7"/>
      <c r="F714" s="7"/>
      <c r="G714" s="7"/>
      <c r="H714" s="7"/>
      <c r="I714" s="7"/>
      <c r="J714" s="7"/>
      <c r="K714" s="7"/>
      <c r="L714" s="7"/>
      <c r="M714" s="7"/>
      <c r="N714" s="7"/>
      <c r="O714" s="7"/>
      <c r="P714" s="7"/>
      <c r="Q714" s="7"/>
      <c r="R714" s="7"/>
      <c r="S714" s="7"/>
      <c r="T714" s="7"/>
      <c r="U714" s="7"/>
      <c r="V714" s="7"/>
      <c r="W714" s="7"/>
      <c r="X714" s="7"/>
      <c r="Y714" s="7"/>
      <c r="Z714" s="7"/>
      <c r="AA714" s="7"/>
      <c r="AB714" s="7"/>
      <c r="AC714" s="7"/>
      <c r="AD714" s="7"/>
      <c r="AE714" s="132"/>
      <c r="AF714" s="132"/>
      <c r="AG714" s="113"/>
    </row>
    <row r="715" spans="2:33">
      <c r="B715" s="7"/>
      <c r="C715" s="7"/>
      <c r="D715" s="7"/>
      <c r="E715" s="7"/>
      <c r="F715" s="7"/>
      <c r="G715" s="7"/>
      <c r="H715" s="7"/>
      <c r="I715" s="7"/>
      <c r="J715" s="7"/>
      <c r="K715" s="7"/>
      <c r="L715" s="7"/>
      <c r="M715" s="7"/>
      <c r="N715" s="7"/>
      <c r="O715" s="7"/>
      <c r="P715" s="7"/>
      <c r="Q715" s="7"/>
      <c r="R715" s="7"/>
      <c r="S715" s="7"/>
      <c r="T715" s="7"/>
      <c r="U715" s="7"/>
      <c r="V715" s="7"/>
      <c r="W715" s="7"/>
      <c r="X715" s="7"/>
      <c r="Y715" s="7"/>
      <c r="Z715" s="7"/>
      <c r="AA715" s="7"/>
      <c r="AB715" s="7"/>
      <c r="AC715" s="7"/>
      <c r="AD715" s="7"/>
      <c r="AE715" s="132"/>
      <c r="AF715" s="132"/>
      <c r="AG715" s="113"/>
    </row>
    <row r="716" spans="2:33">
      <c r="B716" s="7"/>
      <c r="C716" s="7"/>
      <c r="D716" s="7"/>
      <c r="E716" s="7"/>
      <c r="F716" s="7"/>
      <c r="G716" s="7"/>
      <c r="H716" s="7"/>
      <c r="I716" s="7"/>
      <c r="J716" s="7"/>
      <c r="K716" s="7"/>
      <c r="L716" s="7"/>
      <c r="M716" s="7"/>
      <c r="N716" s="7"/>
      <c r="O716" s="7"/>
      <c r="P716" s="7"/>
      <c r="Q716" s="7"/>
      <c r="R716" s="7"/>
      <c r="S716" s="7"/>
      <c r="T716" s="7"/>
      <c r="U716" s="7"/>
      <c r="V716" s="7"/>
      <c r="W716" s="7"/>
      <c r="X716" s="7"/>
      <c r="Y716" s="7"/>
      <c r="Z716" s="7"/>
      <c r="AA716" s="7"/>
      <c r="AB716" s="7"/>
      <c r="AC716" s="7"/>
      <c r="AD716" s="7"/>
      <c r="AE716" s="132"/>
      <c r="AF716" s="132"/>
      <c r="AG716" s="113"/>
    </row>
    <row r="717" spans="2:33">
      <c r="B717" s="7"/>
      <c r="C717" s="7"/>
      <c r="D717" s="7"/>
      <c r="E717" s="7"/>
      <c r="F717" s="7"/>
      <c r="G717" s="7"/>
      <c r="H717" s="7"/>
      <c r="I717" s="7"/>
      <c r="J717" s="7"/>
      <c r="K717" s="7"/>
      <c r="L717" s="7"/>
      <c r="M717" s="7"/>
      <c r="N717" s="7"/>
      <c r="O717" s="7"/>
      <c r="P717" s="7"/>
      <c r="Q717" s="7"/>
      <c r="R717" s="7"/>
      <c r="S717" s="7"/>
      <c r="T717" s="7"/>
      <c r="U717" s="7"/>
      <c r="V717" s="7"/>
      <c r="W717" s="7"/>
      <c r="X717" s="7"/>
      <c r="Y717" s="7"/>
      <c r="Z717" s="7"/>
      <c r="AA717" s="7"/>
      <c r="AB717" s="7"/>
      <c r="AC717" s="7"/>
      <c r="AD717" s="7"/>
      <c r="AE717" s="132"/>
      <c r="AF717" s="132"/>
      <c r="AG717" s="113"/>
    </row>
    <row r="718" spans="2:33">
      <c r="B718" s="7"/>
      <c r="C718" s="7"/>
      <c r="D718" s="7"/>
      <c r="E718" s="7"/>
      <c r="F718" s="7"/>
      <c r="G718" s="7"/>
      <c r="H718" s="7"/>
      <c r="I718" s="7"/>
      <c r="J718" s="7"/>
      <c r="K718" s="7"/>
      <c r="L718" s="7"/>
      <c r="M718" s="7"/>
      <c r="N718" s="7"/>
      <c r="O718" s="7"/>
      <c r="P718" s="7"/>
      <c r="Q718" s="7"/>
      <c r="R718" s="7"/>
      <c r="S718" s="7"/>
      <c r="T718" s="7"/>
      <c r="U718" s="7"/>
      <c r="V718" s="7"/>
      <c r="W718" s="7"/>
      <c r="X718" s="7"/>
      <c r="Y718" s="7"/>
      <c r="Z718" s="7"/>
      <c r="AA718" s="7"/>
      <c r="AB718" s="7"/>
      <c r="AC718" s="7"/>
      <c r="AD718" s="7"/>
      <c r="AE718" s="132"/>
      <c r="AF718" s="132"/>
      <c r="AG718" s="113"/>
    </row>
    <row r="719" spans="2:33">
      <c r="B719" s="7"/>
      <c r="C719" s="7"/>
      <c r="D719" s="7"/>
      <c r="E719" s="7"/>
      <c r="F719" s="7"/>
      <c r="G719" s="7"/>
      <c r="H719" s="7"/>
      <c r="I719" s="7"/>
      <c r="J719" s="7"/>
      <c r="K719" s="7"/>
      <c r="L719" s="7"/>
      <c r="M719" s="7"/>
      <c r="N719" s="7"/>
      <c r="O719" s="7"/>
      <c r="P719" s="7"/>
      <c r="Q719" s="7"/>
      <c r="R719" s="7"/>
      <c r="S719" s="7"/>
      <c r="T719" s="7"/>
      <c r="U719" s="7"/>
      <c r="V719" s="7"/>
      <c r="W719" s="7"/>
      <c r="X719" s="7"/>
      <c r="Y719" s="7"/>
      <c r="Z719" s="7"/>
      <c r="AA719" s="7"/>
      <c r="AB719" s="7"/>
      <c r="AC719" s="7"/>
      <c r="AD719" s="7"/>
      <c r="AE719" s="132"/>
      <c r="AF719" s="132"/>
      <c r="AG719" s="113"/>
    </row>
    <row r="720" spans="2:33">
      <c r="B720" s="7"/>
      <c r="C720" s="7"/>
      <c r="D720" s="7"/>
      <c r="E720" s="7"/>
      <c r="F720" s="7"/>
      <c r="G720" s="7"/>
      <c r="H720" s="7"/>
      <c r="I720" s="7"/>
      <c r="J720" s="7"/>
      <c r="K720" s="7"/>
      <c r="L720" s="7"/>
      <c r="M720" s="7"/>
      <c r="N720" s="7"/>
      <c r="O720" s="7"/>
      <c r="P720" s="7"/>
      <c r="Q720" s="7"/>
      <c r="R720" s="7"/>
      <c r="S720" s="7"/>
      <c r="T720" s="7"/>
      <c r="U720" s="7"/>
      <c r="V720" s="7"/>
      <c r="W720" s="7"/>
      <c r="X720" s="7"/>
      <c r="Y720" s="7"/>
      <c r="Z720" s="7"/>
      <c r="AA720" s="7"/>
      <c r="AB720" s="7"/>
      <c r="AC720" s="7"/>
      <c r="AD720" s="7"/>
      <c r="AE720" s="132"/>
      <c r="AF720" s="132"/>
      <c r="AG720" s="113"/>
    </row>
    <row r="721" spans="2:33">
      <c r="B721" s="7"/>
      <c r="C721" s="7"/>
      <c r="D721" s="7"/>
      <c r="E721" s="7"/>
      <c r="F721" s="7"/>
      <c r="G721" s="7"/>
      <c r="H721" s="7"/>
      <c r="I721" s="7"/>
      <c r="J721" s="7"/>
      <c r="K721" s="7"/>
      <c r="L721" s="7"/>
      <c r="M721" s="7"/>
      <c r="N721" s="7"/>
      <c r="O721" s="7"/>
      <c r="P721" s="7"/>
      <c r="Q721" s="7"/>
      <c r="R721" s="7"/>
      <c r="S721" s="7"/>
      <c r="T721" s="7"/>
      <c r="U721" s="7"/>
      <c r="V721" s="7"/>
      <c r="W721" s="7"/>
      <c r="X721" s="7"/>
      <c r="Y721" s="7"/>
      <c r="Z721" s="7"/>
      <c r="AA721" s="7"/>
      <c r="AB721" s="7"/>
      <c r="AC721" s="7"/>
      <c r="AD721" s="7"/>
      <c r="AE721" s="132"/>
      <c r="AF721" s="132"/>
      <c r="AG721" s="113"/>
    </row>
    <row r="722" spans="2:33">
      <c r="B722" s="7"/>
      <c r="C722" s="7"/>
      <c r="D722" s="7"/>
      <c r="E722" s="7"/>
      <c r="F722" s="7"/>
      <c r="G722" s="7"/>
      <c r="H722" s="7"/>
      <c r="I722" s="7"/>
      <c r="J722" s="7"/>
      <c r="K722" s="7"/>
      <c r="L722" s="7"/>
      <c r="M722" s="7"/>
      <c r="N722" s="7"/>
      <c r="O722" s="7"/>
      <c r="P722" s="7"/>
      <c r="Q722" s="7"/>
      <c r="R722" s="7"/>
      <c r="S722" s="7"/>
      <c r="T722" s="7"/>
      <c r="U722" s="7"/>
      <c r="V722" s="7"/>
      <c r="W722" s="7"/>
      <c r="X722" s="7"/>
      <c r="Y722" s="7"/>
      <c r="Z722" s="7"/>
      <c r="AA722" s="7"/>
      <c r="AB722" s="7"/>
      <c r="AC722" s="7"/>
      <c r="AD722" s="7"/>
      <c r="AE722" s="132"/>
      <c r="AF722" s="132"/>
      <c r="AG722" s="113"/>
    </row>
    <row r="723" spans="2:33">
      <c r="B723" s="7"/>
      <c r="C723" s="7"/>
      <c r="D723" s="7"/>
      <c r="E723" s="7"/>
      <c r="F723" s="7"/>
      <c r="G723" s="7"/>
      <c r="H723" s="7"/>
      <c r="I723" s="7"/>
      <c r="J723" s="7"/>
      <c r="K723" s="7"/>
      <c r="L723" s="7"/>
      <c r="M723" s="7"/>
      <c r="N723" s="7"/>
      <c r="O723" s="7"/>
      <c r="P723" s="7"/>
      <c r="Q723" s="7"/>
      <c r="R723" s="7"/>
      <c r="S723" s="7"/>
      <c r="T723" s="7"/>
      <c r="U723" s="7"/>
      <c r="V723" s="7"/>
      <c r="W723" s="7"/>
      <c r="X723" s="7"/>
      <c r="Y723" s="7"/>
      <c r="Z723" s="7"/>
      <c r="AA723" s="7"/>
      <c r="AB723" s="7"/>
      <c r="AC723" s="7"/>
      <c r="AD723" s="7"/>
      <c r="AE723" s="132"/>
      <c r="AF723" s="132"/>
      <c r="AG723" s="113"/>
    </row>
    <row r="724" spans="2:33">
      <c r="B724" s="7"/>
      <c r="C724" s="7"/>
      <c r="D724" s="7"/>
      <c r="E724" s="7"/>
      <c r="F724" s="7"/>
      <c r="G724" s="7"/>
      <c r="H724" s="7"/>
      <c r="I724" s="7"/>
      <c r="J724" s="7"/>
      <c r="K724" s="7"/>
      <c r="L724" s="7"/>
      <c r="M724" s="7"/>
      <c r="N724" s="7"/>
      <c r="O724" s="7"/>
      <c r="P724" s="7"/>
      <c r="Q724" s="7"/>
      <c r="R724" s="7"/>
      <c r="S724" s="7"/>
      <c r="T724" s="7"/>
      <c r="U724" s="7"/>
      <c r="V724" s="7"/>
      <c r="W724" s="7"/>
      <c r="X724" s="7"/>
      <c r="Y724" s="7"/>
      <c r="Z724" s="7"/>
      <c r="AA724" s="7"/>
      <c r="AB724" s="7"/>
      <c r="AC724" s="7"/>
      <c r="AD724" s="7"/>
      <c r="AE724" s="132"/>
      <c r="AF724" s="132"/>
      <c r="AG724" s="113"/>
    </row>
    <row r="725" spans="2:33">
      <c r="B725" s="7"/>
      <c r="C725" s="7"/>
      <c r="D725" s="7"/>
      <c r="E725" s="7"/>
      <c r="F725" s="7"/>
      <c r="G725" s="7"/>
      <c r="H725" s="7"/>
      <c r="I725" s="7"/>
      <c r="J725" s="7"/>
      <c r="K725" s="7"/>
      <c r="L725" s="7"/>
      <c r="M725" s="7"/>
      <c r="N725" s="7"/>
      <c r="O725" s="7"/>
      <c r="P725" s="7"/>
      <c r="Q725" s="7"/>
      <c r="R725" s="7"/>
      <c r="S725" s="7"/>
      <c r="T725" s="7"/>
      <c r="U725" s="7"/>
      <c r="V725" s="7"/>
      <c r="W725" s="7"/>
      <c r="X725" s="7"/>
      <c r="Y725" s="7"/>
      <c r="Z725" s="7"/>
      <c r="AA725" s="7"/>
      <c r="AB725" s="7"/>
      <c r="AC725" s="7"/>
      <c r="AD725" s="7"/>
      <c r="AE725" s="132"/>
      <c r="AF725" s="132"/>
      <c r="AG725" s="113"/>
    </row>
    <row r="726" spans="2:33">
      <c r="B726" s="7"/>
      <c r="C726" s="7"/>
      <c r="D726" s="7"/>
      <c r="E726" s="7"/>
      <c r="F726" s="7"/>
      <c r="G726" s="7"/>
      <c r="H726" s="7"/>
      <c r="I726" s="7"/>
      <c r="J726" s="7"/>
      <c r="K726" s="7"/>
      <c r="L726" s="7"/>
      <c r="M726" s="7"/>
      <c r="N726" s="7"/>
      <c r="O726" s="7"/>
      <c r="P726" s="7"/>
      <c r="Q726" s="7"/>
      <c r="R726" s="7"/>
      <c r="S726" s="7"/>
      <c r="T726" s="7"/>
      <c r="U726" s="7"/>
      <c r="V726" s="7"/>
      <c r="W726" s="7"/>
      <c r="X726" s="7"/>
      <c r="Y726" s="7"/>
      <c r="Z726" s="7"/>
      <c r="AA726" s="7"/>
      <c r="AB726" s="7"/>
      <c r="AC726" s="7"/>
      <c r="AD726" s="7"/>
      <c r="AE726" s="132"/>
      <c r="AF726" s="132"/>
      <c r="AG726" s="113"/>
    </row>
    <row r="727" spans="2:33">
      <c r="B727" s="7"/>
      <c r="C727" s="7"/>
      <c r="D727" s="7"/>
      <c r="E727" s="7"/>
      <c r="F727" s="7"/>
      <c r="G727" s="7"/>
      <c r="H727" s="7"/>
      <c r="I727" s="7"/>
      <c r="J727" s="7"/>
      <c r="K727" s="7"/>
      <c r="L727" s="7"/>
      <c r="M727" s="7"/>
      <c r="N727" s="7"/>
      <c r="O727" s="7"/>
      <c r="P727" s="7"/>
      <c r="Q727" s="7"/>
      <c r="R727" s="7"/>
      <c r="S727" s="7"/>
      <c r="T727" s="7"/>
      <c r="U727" s="7"/>
      <c r="V727" s="7"/>
      <c r="W727" s="7"/>
      <c r="X727" s="7"/>
      <c r="Y727" s="7"/>
      <c r="Z727" s="7"/>
      <c r="AA727" s="7"/>
      <c r="AB727" s="7"/>
      <c r="AC727" s="7"/>
      <c r="AD727" s="7"/>
      <c r="AE727" s="132"/>
      <c r="AF727" s="132"/>
      <c r="AG727" s="113"/>
    </row>
    <row r="728" spans="2:33">
      <c r="B728" s="7"/>
      <c r="C728" s="7"/>
      <c r="D728" s="7"/>
      <c r="E728" s="7"/>
      <c r="F728" s="7"/>
      <c r="G728" s="7"/>
      <c r="H728" s="7"/>
      <c r="I728" s="7"/>
      <c r="J728" s="7"/>
      <c r="K728" s="7"/>
      <c r="L728" s="7"/>
      <c r="M728" s="7"/>
      <c r="N728" s="7"/>
      <c r="O728" s="7"/>
      <c r="P728" s="7"/>
      <c r="Q728" s="7"/>
      <c r="R728" s="7"/>
      <c r="S728" s="7"/>
      <c r="T728" s="7"/>
      <c r="U728" s="7"/>
      <c r="V728" s="7"/>
      <c r="W728" s="7"/>
      <c r="X728" s="7"/>
      <c r="Y728" s="7"/>
      <c r="Z728" s="7"/>
      <c r="AA728" s="7"/>
      <c r="AB728" s="7"/>
      <c r="AC728" s="7"/>
      <c r="AD728" s="7"/>
      <c r="AE728" s="132"/>
      <c r="AF728" s="132"/>
      <c r="AG728" s="113"/>
    </row>
    <row r="729" spans="2:33">
      <c r="B729" s="7"/>
      <c r="C729" s="7"/>
      <c r="D729" s="7"/>
      <c r="E729" s="7"/>
      <c r="F729" s="7"/>
      <c r="G729" s="7"/>
      <c r="H729" s="7"/>
      <c r="I729" s="7"/>
      <c r="J729" s="7"/>
      <c r="K729" s="7"/>
      <c r="L729" s="7"/>
      <c r="M729" s="7"/>
      <c r="N729" s="7"/>
      <c r="O729" s="7"/>
      <c r="P729" s="7"/>
      <c r="Q729" s="7"/>
      <c r="R729" s="7"/>
      <c r="S729" s="7"/>
      <c r="T729" s="7"/>
      <c r="U729" s="7"/>
      <c r="V729" s="7"/>
      <c r="W729" s="7"/>
      <c r="X729" s="7"/>
      <c r="Y729" s="7"/>
      <c r="Z729" s="7"/>
      <c r="AA729" s="7"/>
      <c r="AB729" s="7"/>
      <c r="AC729" s="7"/>
      <c r="AD729" s="7"/>
      <c r="AE729" s="132"/>
      <c r="AF729" s="132"/>
      <c r="AG729" s="113"/>
    </row>
    <row r="730" spans="2:33">
      <c r="B730" s="7"/>
      <c r="C730" s="7"/>
      <c r="D730" s="7"/>
      <c r="E730" s="7"/>
      <c r="F730" s="7"/>
      <c r="G730" s="7"/>
      <c r="H730" s="7"/>
      <c r="I730" s="7"/>
      <c r="J730" s="7"/>
      <c r="K730" s="7"/>
      <c r="L730" s="7"/>
      <c r="M730" s="7"/>
      <c r="N730" s="7"/>
      <c r="O730" s="7"/>
      <c r="P730" s="7"/>
      <c r="Q730" s="7"/>
      <c r="R730" s="7"/>
      <c r="S730" s="7"/>
      <c r="T730" s="7"/>
      <c r="U730" s="7"/>
      <c r="V730" s="7"/>
      <c r="W730" s="7"/>
      <c r="X730" s="7"/>
      <c r="Y730" s="7"/>
      <c r="Z730" s="7"/>
      <c r="AA730" s="7"/>
      <c r="AB730" s="7"/>
      <c r="AC730" s="7"/>
      <c r="AD730" s="7"/>
      <c r="AE730" s="132"/>
      <c r="AF730" s="132"/>
      <c r="AG730" s="113"/>
    </row>
    <row r="731" spans="2:33">
      <c r="B731" s="7"/>
      <c r="C731" s="7"/>
      <c r="D731" s="7"/>
      <c r="E731" s="7"/>
      <c r="F731" s="7"/>
      <c r="G731" s="7"/>
      <c r="H731" s="7"/>
      <c r="I731" s="7"/>
      <c r="J731" s="7"/>
      <c r="K731" s="7"/>
      <c r="L731" s="7"/>
      <c r="M731" s="7"/>
      <c r="N731" s="7"/>
      <c r="O731" s="7"/>
      <c r="P731" s="7"/>
      <c r="Q731" s="7"/>
      <c r="R731" s="7"/>
      <c r="S731" s="7"/>
      <c r="T731" s="7"/>
      <c r="U731" s="7"/>
      <c r="V731" s="7"/>
      <c r="W731" s="7"/>
      <c r="X731" s="7"/>
      <c r="Y731" s="7"/>
      <c r="Z731" s="7"/>
      <c r="AA731" s="7"/>
      <c r="AB731" s="7"/>
      <c r="AC731" s="7"/>
      <c r="AD731" s="7"/>
      <c r="AE731" s="132"/>
      <c r="AF731" s="132"/>
      <c r="AG731" s="113"/>
    </row>
    <row r="732" spans="2:33">
      <c r="B732" s="7"/>
      <c r="C732" s="7"/>
      <c r="D732" s="7"/>
      <c r="E732" s="7"/>
      <c r="F732" s="7"/>
      <c r="G732" s="7"/>
      <c r="H732" s="7"/>
      <c r="I732" s="7"/>
      <c r="J732" s="7"/>
      <c r="K732" s="7"/>
      <c r="L732" s="7"/>
      <c r="M732" s="7"/>
      <c r="N732" s="7"/>
      <c r="O732" s="7"/>
      <c r="P732" s="7"/>
      <c r="Q732" s="7"/>
      <c r="R732" s="7"/>
      <c r="S732" s="7"/>
      <c r="T732" s="7"/>
      <c r="U732" s="7"/>
      <c r="V732" s="7"/>
      <c r="W732" s="7"/>
      <c r="X732" s="7"/>
      <c r="Y732" s="7"/>
      <c r="Z732" s="7"/>
      <c r="AA732" s="7"/>
      <c r="AB732" s="7"/>
      <c r="AC732" s="7"/>
      <c r="AD732" s="7"/>
      <c r="AE732" s="132"/>
      <c r="AF732" s="132"/>
      <c r="AG732" s="113"/>
    </row>
    <row r="733" spans="2:33">
      <c r="B733" s="7"/>
      <c r="C733" s="7"/>
      <c r="D733" s="7"/>
      <c r="E733" s="7"/>
      <c r="F733" s="7"/>
      <c r="G733" s="7"/>
      <c r="H733" s="7"/>
      <c r="I733" s="7"/>
      <c r="J733" s="7"/>
      <c r="K733" s="7"/>
      <c r="L733" s="7"/>
      <c r="M733" s="7"/>
      <c r="N733" s="7"/>
      <c r="O733" s="7"/>
      <c r="P733" s="7"/>
      <c r="Q733" s="7"/>
      <c r="R733" s="7"/>
      <c r="S733" s="7"/>
      <c r="T733" s="7"/>
      <c r="U733" s="7"/>
      <c r="V733" s="7"/>
      <c r="W733" s="7"/>
      <c r="X733" s="7"/>
      <c r="Y733" s="7"/>
      <c r="Z733" s="7"/>
      <c r="AA733" s="7"/>
      <c r="AB733" s="7"/>
      <c r="AC733" s="7"/>
      <c r="AD733" s="7"/>
      <c r="AE733" s="132"/>
      <c r="AF733" s="132"/>
      <c r="AG733" s="113"/>
    </row>
    <row r="734" spans="2:33">
      <c r="B734" s="7"/>
      <c r="C734" s="7"/>
      <c r="D734" s="7"/>
      <c r="E734" s="7"/>
      <c r="F734" s="7"/>
      <c r="G734" s="7"/>
      <c r="H734" s="7"/>
      <c r="I734" s="7"/>
      <c r="J734" s="7"/>
      <c r="K734" s="7"/>
      <c r="L734" s="7"/>
      <c r="M734" s="7"/>
      <c r="N734" s="7"/>
      <c r="O734" s="7"/>
      <c r="P734" s="7"/>
      <c r="Q734" s="7"/>
      <c r="R734" s="7"/>
      <c r="S734" s="7"/>
      <c r="T734" s="7"/>
      <c r="U734" s="7"/>
      <c r="V734" s="7"/>
      <c r="W734" s="7"/>
      <c r="X734" s="7"/>
      <c r="Y734" s="7"/>
      <c r="Z734" s="7"/>
      <c r="AA734" s="7"/>
      <c r="AB734" s="7"/>
      <c r="AC734" s="7"/>
      <c r="AD734" s="7"/>
      <c r="AE734" s="132"/>
      <c r="AF734" s="132"/>
      <c r="AG734" s="113"/>
    </row>
    <row r="735" spans="2:33">
      <c r="B735" s="7"/>
      <c r="C735" s="7"/>
      <c r="D735" s="7"/>
      <c r="E735" s="7"/>
      <c r="F735" s="7"/>
      <c r="G735" s="7"/>
      <c r="H735" s="7"/>
      <c r="I735" s="7"/>
      <c r="J735" s="7"/>
      <c r="K735" s="7"/>
      <c r="L735" s="7"/>
      <c r="M735" s="7"/>
      <c r="N735" s="7"/>
      <c r="O735" s="7"/>
      <c r="P735" s="7"/>
      <c r="Q735" s="7"/>
      <c r="R735" s="7"/>
      <c r="S735" s="7"/>
      <c r="T735" s="7"/>
      <c r="U735" s="7"/>
      <c r="V735" s="7"/>
      <c r="W735" s="7"/>
      <c r="X735" s="7"/>
      <c r="Y735" s="7"/>
      <c r="Z735" s="7"/>
      <c r="AA735" s="7"/>
      <c r="AB735" s="7"/>
      <c r="AC735" s="7"/>
      <c r="AD735" s="7"/>
      <c r="AE735" s="132"/>
      <c r="AF735" s="132"/>
      <c r="AG735" s="113"/>
    </row>
    <row r="736" spans="2:33">
      <c r="B736" s="7"/>
      <c r="C736" s="7"/>
      <c r="D736" s="7"/>
      <c r="E736" s="7"/>
      <c r="F736" s="7"/>
      <c r="G736" s="7"/>
      <c r="H736" s="7"/>
      <c r="I736" s="7"/>
      <c r="J736" s="7"/>
      <c r="K736" s="7"/>
      <c r="L736" s="7"/>
      <c r="M736" s="7"/>
      <c r="N736" s="7"/>
      <c r="O736" s="7"/>
      <c r="P736" s="7"/>
      <c r="Q736" s="7"/>
      <c r="R736" s="7"/>
      <c r="S736" s="7"/>
      <c r="T736" s="7"/>
      <c r="U736" s="7"/>
      <c r="V736" s="7"/>
      <c r="W736" s="7"/>
      <c r="X736" s="7"/>
      <c r="Y736" s="7"/>
      <c r="Z736" s="7"/>
      <c r="AA736" s="7"/>
      <c r="AB736" s="7"/>
      <c r="AC736" s="7"/>
      <c r="AD736" s="7"/>
      <c r="AE736" s="132"/>
      <c r="AF736" s="132"/>
      <c r="AG736" s="113"/>
    </row>
    <row r="737" spans="2:33">
      <c r="B737" s="7"/>
      <c r="C737" s="7"/>
      <c r="D737" s="7"/>
      <c r="E737" s="7"/>
      <c r="F737" s="7"/>
      <c r="G737" s="7"/>
      <c r="H737" s="7"/>
      <c r="I737" s="7"/>
      <c r="J737" s="7"/>
      <c r="K737" s="7"/>
      <c r="L737" s="7"/>
      <c r="M737" s="7"/>
      <c r="N737" s="7"/>
      <c r="O737" s="7"/>
      <c r="P737" s="7"/>
      <c r="Q737" s="7"/>
      <c r="R737" s="7"/>
      <c r="S737" s="7"/>
      <c r="T737" s="7"/>
      <c r="U737" s="7"/>
      <c r="V737" s="7"/>
      <c r="W737" s="7"/>
      <c r="X737" s="7"/>
      <c r="Y737" s="7"/>
      <c r="Z737" s="7"/>
      <c r="AA737" s="7"/>
      <c r="AB737" s="7"/>
      <c r="AC737" s="7"/>
      <c r="AD737" s="7"/>
      <c r="AE737" s="132"/>
      <c r="AF737" s="132"/>
      <c r="AG737" s="113"/>
    </row>
    <row r="738" spans="2:33">
      <c r="B738" s="7"/>
      <c r="C738" s="7"/>
      <c r="D738" s="7"/>
      <c r="E738" s="7"/>
      <c r="F738" s="7"/>
      <c r="G738" s="7"/>
      <c r="H738" s="7"/>
      <c r="I738" s="7"/>
      <c r="J738" s="7"/>
      <c r="K738" s="7"/>
      <c r="L738" s="7"/>
      <c r="M738" s="7"/>
      <c r="N738" s="7"/>
      <c r="O738" s="7"/>
      <c r="P738" s="7"/>
      <c r="Q738" s="7"/>
      <c r="R738" s="7"/>
      <c r="S738" s="7"/>
      <c r="T738" s="7"/>
      <c r="U738" s="7"/>
      <c r="V738" s="7"/>
      <c r="W738" s="7"/>
      <c r="X738" s="7"/>
      <c r="Y738" s="7"/>
      <c r="Z738" s="7"/>
      <c r="AA738" s="7"/>
      <c r="AB738" s="7"/>
      <c r="AC738" s="7"/>
      <c r="AD738" s="7"/>
      <c r="AE738" s="132"/>
      <c r="AF738" s="132"/>
      <c r="AG738" s="113"/>
    </row>
    <row r="739" spans="2:33">
      <c r="B739" s="7"/>
      <c r="C739" s="7"/>
      <c r="D739" s="7"/>
      <c r="E739" s="7"/>
      <c r="F739" s="7"/>
      <c r="G739" s="7"/>
      <c r="H739" s="7"/>
      <c r="I739" s="7"/>
      <c r="J739" s="7"/>
      <c r="K739" s="7"/>
      <c r="L739" s="7"/>
      <c r="M739" s="7"/>
      <c r="N739" s="7"/>
      <c r="O739" s="7"/>
      <c r="P739" s="7"/>
      <c r="Q739" s="7"/>
      <c r="R739" s="7"/>
      <c r="S739" s="7"/>
      <c r="T739" s="7"/>
      <c r="U739" s="7"/>
      <c r="V739" s="7"/>
      <c r="W739" s="7"/>
      <c r="X739" s="7"/>
      <c r="Y739" s="7"/>
      <c r="Z739" s="7"/>
      <c r="AA739" s="7"/>
      <c r="AB739" s="7"/>
      <c r="AC739" s="7"/>
      <c r="AD739" s="7"/>
      <c r="AE739" s="132"/>
      <c r="AF739" s="132"/>
      <c r="AG739" s="113"/>
    </row>
    <row r="740" spans="2:33">
      <c r="B740" s="7"/>
      <c r="C740" s="7"/>
      <c r="D740" s="7"/>
      <c r="E740" s="7"/>
      <c r="F740" s="7"/>
      <c r="G740" s="7"/>
      <c r="H740" s="7"/>
      <c r="I740" s="7"/>
      <c r="J740" s="7"/>
      <c r="K740" s="7"/>
      <c r="L740" s="7"/>
      <c r="M740" s="7"/>
      <c r="N740" s="7"/>
      <c r="O740" s="7"/>
      <c r="P740" s="7"/>
      <c r="Q740" s="7"/>
      <c r="R740" s="7"/>
      <c r="S740" s="7"/>
      <c r="T740" s="7"/>
      <c r="U740" s="7"/>
      <c r="V740" s="7"/>
      <c r="W740" s="7"/>
      <c r="X740" s="7"/>
      <c r="Y740" s="7"/>
      <c r="Z740" s="7"/>
      <c r="AA740" s="7"/>
      <c r="AB740" s="7"/>
      <c r="AC740" s="7"/>
      <c r="AD740" s="7"/>
      <c r="AE740" s="132"/>
      <c r="AF740" s="132"/>
      <c r="AG740" s="113"/>
    </row>
    <row r="741" spans="2:33">
      <c r="B741" s="7"/>
      <c r="C741" s="7"/>
      <c r="D741" s="7"/>
      <c r="E741" s="7"/>
      <c r="F741" s="7"/>
      <c r="G741" s="7"/>
      <c r="H741" s="7"/>
      <c r="I741" s="7"/>
      <c r="J741" s="7"/>
      <c r="K741" s="7"/>
      <c r="L741" s="7"/>
      <c r="M741" s="7"/>
      <c r="N741" s="7"/>
      <c r="O741" s="7"/>
      <c r="P741" s="7"/>
      <c r="Q741" s="7"/>
      <c r="R741" s="7"/>
      <c r="S741" s="7"/>
      <c r="T741" s="7"/>
      <c r="U741" s="7"/>
      <c r="V741" s="7"/>
      <c r="W741" s="7"/>
      <c r="X741" s="7"/>
      <c r="Y741" s="7"/>
      <c r="Z741" s="7"/>
      <c r="AA741" s="7"/>
      <c r="AB741" s="7"/>
      <c r="AC741" s="7"/>
      <c r="AD741" s="7"/>
      <c r="AE741" s="132"/>
      <c r="AF741" s="132"/>
      <c r="AG741" s="113"/>
    </row>
    <row r="742" spans="2:33">
      <c r="B742" s="7"/>
      <c r="C742" s="7"/>
      <c r="D742" s="7"/>
      <c r="E742" s="7"/>
      <c r="F742" s="7"/>
      <c r="G742" s="7"/>
      <c r="H742" s="7"/>
      <c r="I742" s="7"/>
      <c r="J742" s="7"/>
      <c r="K742" s="7"/>
      <c r="L742" s="7"/>
      <c r="M742" s="7"/>
      <c r="N742" s="7"/>
      <c r="O742" s="7"/>
      <c r="P742" s="7"/>
      <c r="Q742" s="7"/>
      <c r="R742" s="7"/>
      <c r="S742" s="7"/>
      <c r="T742" s="7"/>
      <c r="U742" s="7"/>
      <c r="V742" s="7"/>
      <c r="W742" s="7"/>
      <c r="X742" s="7"/>
      <c r="Y742" s="7"/>
      <c r="Z742" s="7"/>
      <c r="AA742" s="7"/>
      <c r="AB742" s="7"/>
      <c r="AC742" s="7"/>
      <c r="AD742" s="7"/>
      <c r="AE742" s="132"/>
      <c r="AF742" s="132"/>
      <c r="AG742" s="113"/>
    </row>
    <row r="743" spans="2:33">
      <c r="B743" s="7"/>
      <c r="C743" s="7"/>
      <c r="D743" s="7"/>
      <c r="E743" s="7"/>
      <c r="F743" s="7"/>
      <c r="G743" s="7"/>
      <c r="H743" s="7"/>
      <c r="I743" s="7"/>
      <c r="J743" s="7"/>
      <c r="K743" s="7"/>
      <c r="L743" s="7"/>
      <c r="M743" s="7"/>
      <c r="N743" s="7"/>
      <c r="O743" s="7"/>
      <c r="P743" s="7"/>
      <c r="Q743" s="7"/>
      <c r="R743" s="7"/>
      <c r="S743" s="7"/>
      <c r="T743" s="7"/>
      <c r="U743" s="7"/>
      <c r="V743" s="7"/>
      <c r="W743" s="7"/>
      <c r="X743" s="7"/>
      <c r="Y743" s="7"/>
      <c r="Z743" s="7"/>
      <c r="AA743" s="7"/>
      <c r="AB743" s="7"/>
      <c r="AC743" s="7"/>
      <c r="AD743" s="7"/>
      <c r="AE743" s="132"/>
      <c r="AF743" s="132"/>
      <c r="AG743" s="113"/>
    </row>
    <row r="744" spans="2:33">
      <c r="B744" s="7"/>
      <c r="C744" s="7"/>
      <c r="D744" s="7"/>
      <c r="E744" s="7"/>
      <c r="F744" s="7"/>
      <c r="G744" s="7"/>
      <c r="H744" s="7"/>
      <c r="I744" s="7"/>
      <c r="J744" s="7"/>
      <c r="K744" s="7"/>
      <c r="L744" s="7"/>
      <c r="M744" s="7"/>
      <c r="N744" s="7"/>
      <c r="O744" s="7"/>
      <c r="P744" s="7"/>
      <c r="Q744" s="7"/>
      <c r="R744" s="7"/>
      <c r="S744" s="7"/>
      <c r="T744" s="7"/>
      <c r="U744" s="7"/>
      <c r="V744" s="7"/>
      <c r="W744" s="7"/>
      <c r="X744" s="7"/>
      <c r="Y744" s="7"/>
      <c r="Z744" s="7"/>
      <c r="AA744" s="7"/>
      <c r="AB744" s="7"/>
      <c r="AC744" s="7"/>
      <c r="AD744" s="7"/>
      <c r="AE744" s="132"/>
      <c r="AF744" s="132"/>
      <c r="AG744" s="113"/>
    </row>
    <row r="745" spans="2:33">
      <c r="B745" s="7"/>
      <c r="C745" s="7"/>
      <c r="D745" s="7"/>
      <c r="E745" s="7"/>
      <c r="F745" s="7"/>
      <c r="G745" s="7"/>
      <c r="H745" s="7"/>
      <c r="I745" s="7"/>
      <c r="J745" s="7"/>
      <c r="K745" s="7"/>
      <c r="L745" s="7"/>
      <c r="M745" s="7"/>
      <c r="N745" s="7"/>
      <c r="O745" s="7"/>
      <c r="P745" s="7"/>
      <c r="Q745" s="7"/>
      <c r="R745" s="7"/>
      <c r="S745" s="7"/>
      <c r="T745" s="7"/>
      <c r="U745" s="7"/>
      <c r="V745" s="7"/>
      <c r="W745" s="7"/>
      <c r="X745" s="7"/>
      <c r="Y745" s="7"/>
      <c r="Z745" s="7"/>
      <c r="AA745" s="7"/>
      <c r="AB745" s="7"/>
      <c r="AC745" s="7"/>
      <c r="AD745" s="7"/>
      <c r="AE745" s="132"/>
      <c r="AF745" s="132"/>
      <c r="AG745" s="113"/>
    </row>
    <row r="746" spans="2:33">
      <c r="B746" s="7"/>
      <c r="C746" s="7"/>
      <c r="D746" s="7"/>
      <c r="E746" s="7"/>
      <c r="F746" s="7"/>
      <c r="G746" s="7"/>
      <c r="H746" s="7"/>
      <c r="I746" s="7"/>
      <c r="J746" s="7"/>
      <c r="K746" s="7"/>
      <c r="L746" s="7"/>
      <c r="M746" s="7"/>
      <c r="N746" s="7"/>
      <c r="O746" s="7"/>
      <c r="P746" s="7"/>
      <c r="Q746" s="7"/>
      <c r="R746" s="7"/>
      <c r="S746" s="7"/>
      <c r="T746" s="7"/>
      <c r="U746" s="7"/>
      <c r="V746" s="7"/>
      <c r="W746" s="7"/>
      <c r="X746" s="7"/>
      <c r="Y746" s="7"/>
      <c r="Z746" s="7"/>
      <c r="AA746" s="7"/>
      <c r="AB746" s="7"/>
      <c r="AC746" s="7"/>
      <c r="AD746" s="7"/>
      <c r="AE746" s="132"/>
      <c r="AF746" s="132"/>
      <c r="AG746" s="113"/>
    </row>
    <row r="747" spans="2:33">
      <c r="B747" s="7"/>
      <c r="C747" s="7"/>
      <c r="D747" s="7"/>
      <c r="E747" s="7"/>
      <c r="F747" s="7"/>
      <c r="G747" s="7"/>
      <c r="H747" s="7"/>
      <c r="I747" s="7"/>
      <c r="J747" s="7"/>
      <c r="K747" s="7"/>
      <c r="L747" s="7"/>
      <c r="M747" s="7"/>
      <c r="N747" s="7"/>
      <c r="O747" s="7"/>
      <c r="P747" s="7"/>
      <c r="Q747" s="7"/>
      <c r="R747" s="7"/>
      <c r="S747" s="7"/>
      <c r="T747" s="7"/>
      <c r="U747" s="7"/>
      <c r="V747" s="7"/>
      <c r="W747" s="7"/>
      <c r="X747" s="7"/>
      <c r="Y747" s="7"/>
      <c r="Z747" s="7"/>
      <c r="AA747" s="7"/>
      <c r="AB747" s="7"/>
      <c r="AC747" s="7"/>
      <c r="AD747" s="7"/>
      <c r="AE747" s="132"/>
      <c r="AF747" s="132"/>
      <c r="AG747" s="113"/>
    </row>
    <row r="748" spans="2:33">
      <c r="B748" s="7"/>
      <c r="C748" s="7"/>
      <c r="D748" s="7"/>
      <c r="E748" s="7"/>
      <c r="F748" s="7"/>
      <c r="G748" s="7"/>
      <c r="H748" s="7"/>
      <c r="I748" s="7"/>
      <c r="J748" s="7"/>
      <c r="K748" s="7"/>
      <c r="L748" s="7"/>
      <c r="M748" s="7"/>
      <c r="N748" s="7"/>
      <c r="O748" s="7"/>
      <c r="P748" s="7"/>
      <c r="Q748" s="7"/>
      <c r="R748" s="7"/>
      <c r="S748" s="7"/>
      <c r="T748" s="7"/>
      <c r="U748" s="7"/>
      <c r="V748" s="7"/>
      <c r="W748" s="7"/>
      <c r="X748" s="7"/>
      <c r="Y748" s="7"/>
      <c r="Z748" s="7"/>
      <c r="AA748" s="7"/>
      <c r="AB748" s="7"/>
      <c r="AC748" s="7"/>
      <c r="AD748" s="7"/>
      <c r="AE748" s="132"/>
      <c r="AF748" s="132"/>
      <c r="AG748" s="113"/>
    </row>
    <row r="749" spans="2:33">
      <c r="B749" s="7"/>
      <c r="C749" s="7"/>
      <c r="D749" s="7"/>
      <c r="E749" s="7"/>
      <c r="F749" s="7"/>
      <c r="G749" s="7"/>
      <c r="H749" s="7"/>
      <c r="I749" s="7"/>
      <c r="J749" s="7"/>
      <c r="K749" s="7"/>
      <c r="L749" s="7"/>
      <c r="M749" s="7"/>
      <c r="N749" s="7"/>
      <c r="O749" s="7"/>
      <c r="P749" s="7"/>
      <c r="Q749" s="7"/>
      <c r="R749" s="7"/>
      <c r="S749" s="7"/>
      <c r="T749" s="7"/>
      <c r="U749" s="7"/>
      <c r="V749" s="7"/>
      <c r="W749" s="7"/>
      <c r="X749" s="7"/>
      <c r="Y749" s="7"/>
      <c r="Z749" s="7"/>
      <c r="AA749" s="7"/>
      <c r="AB749" s="7"/>
      <c r="AC749" s="7"/>
      <c r="AD749" s="7"/>
      <c r="AE749" s="132"/>
      <c r="AF749" s="132"/>
      <c r="AG749" s="113"/>
    </row>
    <row r="750" spans="2:33">
      <c r="B750" s="7"/>
      <c r="C750" s="7"/>
      <c r="D750" s="7"/>
      <c r="E750" s="7"/>
      <c r="F750" s="7"/>
      <c r="G750" s="7"/>
      <c r="H750" s="7"/>
      <c r="I750" s="7"/>
      <c r="J750" s="7"/>
      <c r="K750" s="7"/>
      <c r="L750" s="7"/>
      <c r="M750" s="7"/>
      <c r="N750" s="7"/>
      <c r="O750" s="7"/>
      <c r="P750" s="7"/>
      <c r="Q750" s="7"/>
      <c r="R750" s="7"/>
      <c r="S750" s="7"/>
      <c r="T750" s="7"/>
      <c r="U750" s="7"/>
      <c r="V750" s="7"/>
      <c r="W750" s="7"/>
      <c r="X750" s="7"/>
      <c r="Y750" s="7"/>
      <c r="Z750" s="7"/>
      <c r="AA750" s="7"/>
      <c r="AB750" s="7"/>
      <c r="AC750" s="7"/>
      <c r="AD750" s="7"/>
      <c r="AE750" s="132"/>
      <c r="AF750" s="132"/>
      <c r="AG750" s="113"/>
    </row>
    <row r="751" spans="2:33">
      <c r="B751" s="7"/>
      <c r="C751" s="7"/>
      <c r="D751" s="7"/>
      <c r="E751" s="7"/>
      <c r="F751" s="7"/>
      <c r="G751" s="7"/>
      <c r="H751" s="7"/>
      <c r="I751" s="7"/>
      <c r="J751" s="7"/>
      <c r="K751" s="7"/>
      <c r="L751" s="7"/>
      <c r="M751" s="7"/>
      <c r="N751" s="7"/>
      <c r="O751" s="7"/>
      <c r="P751" s="7"/>
      <c r="Q751" s="7"/>
      <c r="R751" s="7"/>
      <c r="S751" s="7"/>
      <c r="T751" s="7"/>
      <c r="U751" s="7"/>
      <c r="V751" s="7"/>
      <c r="W751" s="7"/>
      <c r="X751" s="7"/>
      <c r="Y751" s="7"/>
      <c r="Z751" s="7"/>
      <c r="AA751" s="7"/>
      <c r="AB751" s="7"/>
      <c r="AC751" s="7"/>
      <c r="AD751" s="7"/>
      <c r="AE751" s="132"/>
      <c r="AF751" s="132"/>
      <c r="AG751" s="113"/>
    </row>
    <row r="752" spans="2:33">
      <c r="B752" s="7"/>
      <c r="C752" s="7"/>
      <c r="D752" s="7"/>
      <c r="E752" s="7"/>
      <c r="F752" s="7"/>
      <c r="G752" s="7"/>
      <c r="H752" s="7"/>
      <c r="I752" s="7"/>
      <c r="J752" s="7"/>
      <c r="K752" s="7"/>
      <c r="L752" s="7"/>
      <c r="M752" s="7"/>
      <c r="N752" s="7"/>
      <c r="O752" s="7"/>
      <c r="P752" s="7"/>
      <c r="Q752" s="7"/>
      <c r="R752" s="7"/>
      <c r="S752" s="7"/>
      <c r="T752" s="7"/>
      <c r="U752" s="7"/>
      <c r="V752" s="7"/>
      <c r="W752" s="7"/>
      <c r="X752" s="7"/>
      <c r="Y752" s="7"/>
      <c r="Z752" s="7"/>
      <c r="AA752" s="7"/>
      <c r="AB752" s="7"/>
      <c r="AC752" s="7"/>
      <c r="AD752" s="7"/>
      <c r="AE752" s="132"/>
      <c r="AF752" s="132"/>
    </row>
    <row r="753" spans="2:32">
      <c r="B753" s="7"/>
      <c r="C753" s="7"/>
      <c r="D753" s="7"/>
      <c r="E753" s="7"/>
      <c r="F753" s="7"/>
      <c r="G753" s="7"/>
      <c r="H753" s="7"/>
      <c r="I753" s="7"/>
      <c r="J753" s="7"/>
      <c r="K753" s="7"/>
      <c r="L753" s="7"/>
      <c r="M753" s="7"/>
      <c r="N753" s="7"/>
      <c r="O753" s="7"/>
      <c r="P753" s="7"/>
      <c r="Q753" s="7"/>
      <c r="R753" s="7"/>
      <c r="S753" s="7"/>
      <c r="T753" s="7"/>
      <c r="U753" s="7"/>
      <c r="V753" s="7"/>
      <c r="W753" s="7"/>
      <c r="X753" s="7"/>
      <c r="Y753" s="7"/>
      <c r="Z753" s="7"/>
      <c r="AA753" s="7"/>
      <c r="AB753" s="7"/>
      <c r="AC753" s="7"/>
      <c r="AD753" s="7"/>
      <c r="AE753" s="132"/>
      <c r="AF753" s="132"/>
    </row>
    <row r="754" spans="2:32">
      <c r="B754" s="7"/>
      <c r="C754" s="7"/>
      <c r="D754" s="7"/>
      <c r="E754" s="7"/>
      <c r="F754" s="7"/>
      <c r="G754" s="7"/>
      <c r="H754" s="7"/>
      <c r="I754" s="7"/>
      <c r="J754" s="7"/>
      <c r="K754" s="7"/>
      <c r="L754" s="7"/>
      <c r="M754" s="7"/>
      <c r="N754" s="7"/>
      <c r="O754" s="7"/>
      <c r="P754" s="7"/>
      <c r="Q754" s="7"/>
      <c r="R754" s="7"/>
      <c r="S754" s="7"/>
      <c r="T754" s="7"/>
      <c r="U754" s="7"/>
      <c r="V754" s="7"/>
      <c r="W754" s="7"/>
      <c r="X754" s="7"/>
      <c r="Y754" s="7"/>
      <c r="Z754" s="7"/>
      <c r="AA754" s="7"/>
      <c r="AB754" s="7"/>
      <c r="AC754" s="7"/>
      <c r="AD754" s="7"/>
      <c r="AE754" s="132"/>
      <c r="AF754" s="132"/>
    </row>
    <row r="755" spans="2:32">
      <c r="B755" s="7"/>
      <c r="C755" s="7"/>
      <c r="D755" s="7"/>
      <c r="E755" s="7"/>
      <c r="F755" s="7"/>
      <c r="G755" s="7"/>
      <c r="H755" s="7"/>
      <c r="I755" s="7"/>
      <c r="J755" s="7"/>
      <c r="K755" s="7"/>
      <c r="L755" s="7"/>
      <c r="M755" s="7"/>
      <c r="N755" s="7"/>
      <c r="O755" s="7"/>
      <c r="P755" s="7"/>
      <c r="Q755" s="7"/>
      <c r="R755" s="7"/>
      <c r="S755" s="7"/>
      <c r="T755" s="7"/>
      <c r="U755" s="7"/>
      <c r="V755" s="7"/>
      <c r="W755" s="7"/>
      <c r="X755" s="7"/>
      <c r="Y755" s="7"/>
      <c r="Z755" s="7"/>
      <c r="AA755" s="7"/>
      <c r="AB755" s="7"/>
      <c r="AC755" s="7"/>
      <c r="AD755" s="7"/>
      <c r="AE755" s="132"/>
      <c r="AF755" s="132"/>
    </row>
    <row r="756" spans="2:32">
      <c r="B756" s="7"/>
      <c r="C756" s="7"/>
      <c r="D756" s="7"/>
      <c r="E756" s="7"/>
      <c r="F756" s="7"/>
      <c r="G756" s="7"/>
      <c r="H756" s="7"/>
      <c r="I756" s="7"/>
      <c r="J756" s="7"/>
      <c r="K756" s="7"/>
      <c r="L756" s="7"/>
      <c r="M756" s="7"/>
      <c r="N756" s="7"/>
      <c r="O756" s="7"/>
      <c r="P756" s="7"/>
      <c r="Q756" s="7"/>
      <c r="R756" s="7"/>
      <c r="S756" s="7"/>
      <c r="T756" s="7"/>
      <c r="U756" s="7"/>
      <c r="V756" s="7"/>
      <c r="W756" s="7"/>
      <c r="X756" s="7"/>
      <c r="Y756" s="7"/>
      <c r="Z756" s="7"/>
      <c r="AA756" s="7"/>
      <c r="AB756" s="7"/>
      <c r="AC756" s="7"/>
      <c r="AD756" s="7"/>
      <c r="AE756" s="132"/>
      <c r="AF756" s="132"/>
    </row>
    <row r="757" spans="2:32">
      <c r="B757" s="7"/>
      <c r="C757" s="7"/>
      <c r="D757" s="7"/>
      <c r="E757" s="7"/>
      <c r="F757" s="7"/>
      <c r="G757" s="7"/>
      <c r="H757" s="7"/>
      <c r="I757" s="7"/>
      <c r="J757" s="7"/>
      <c r="K757" s="7"/>
      <c r="L757" s="7"/>
      <c r="M757" s="7"/>
      <c r="N757" s="7"/>
      <c r="O757" s="7"/>
      <c r="P757" s="7"/>
      <c r="Q757" s="7"/>
      <c r="R757" s="7"/>
      <c r="S757" s="7"/>
      <c r="T757" s="7"/>
      <c r="U757" s="7"/>
      <c r="V757" s="7"/>
      <c r="W757" s="7"/>
      <c r="X757" s="7"/>
      <c r="Y757" s="7"/>
      <c r="Z757" s="7"/>
      <c r="AA757" s="7"/>
      <c r="AB757" s="7"/>
      <c r="AC757" s="7"/>
      <c r="AD757" s="7"/>
      <c r="AE757" s="132"/>
      <c r="AF757" s="132"/>
    </row>
    <row r="758" spans="2:32">
      <c r="B758" s="7"/>
      <c r="C758" s="7"/>
      <c r="D758" s="7"/>
      <c r="E758" s="7"/>
      <c r="F758" s="7"/>
      <c r="G758" s="7"/>
      <c r="H758" s="7"/>
      <c r="I758" s="7"/>
      <c r="J758" s="7"/>
      <c r="K758" s="7"/>
      <c r="L758" s="7"/>
      <c r="M758" s="7"/>
      <c r="N758" s="7"/>
      <c r="O758" s="7"/>
      <c r="P758" s="7"/>
      <c r="Q758" s="7"/>
      <c r="R758" s="7"/>
      <c r="S758" s="7"/>
      <c r="T758" s="7"/>
      <c r="U758" s="7"/>
      <c r="V758" s="7"/>
      <c r="W758" s="7"/>
      <c r="X758" s="7"/>
      <c r="Y758" s="7"/>
      <c r="Z758" s="7"/>
      <c r="AA758" s="7"/>
      <c r="AB758" s="7"/>
      <c r="AC758" s="7"/>
      <c r="AD758" s="7"/>
      <c r="AE758" s="132"/>
      <c r="AF758" s="132"/>
    </row>
    <row r="759" spans="2:32">
      <c r="B759" s="7"/>
      <c r="C759" s="7"/>
      <c r="D759" s="7"/>
      <c r="E759" s="7"/>
      <c r="F759" s="7"/>
      <c r="G759" s="7"/>
      <c r="H759" s="7"/>
      <c r="I759" s="7"/>
      <c r="J759" s="7"/>
      <c r="K759" s="7"/>
      <c r="L759" s="7"/>
      <c r="M759" s="7"/>
      <c r="N759" s="7"/>
      <c r="O759" s="7"/>
      <c r="P759" s="7"/>
      <c r="Q759" s="7"/>
      <c r="R759" s="7"/>
      <c r="S759" s="7"/>
      <c r="T759" s="7"/>
      <c r="U759" s="7"/>
      <c r="V759" s="7"/>
      <c r="W759" s="7"/>
      <c r="X759" s="7"/>
      <c r="Y759" s="7"/>
      <c r="Z759" s="7"/>
      <c r="AA759" s="7"/>
      <c r="AB759" s="7"/>
      <c r="AC759" s="7"/>
      <c r="AD759" s="7"/>
      <c r="AE759" s="132"/>
      <c r="AF759" s="132"/>
    </row>
    <row r="760" spans="2:32">
      <c r="B760" s="7"/>
      <c r="C760" s="7"/>
      <c r="D760" s="7"/>
      <c r="E760" s="7"/>
      <c r="F760" s="7"/>
      <c r="G760" s="7"/>
      <c r="H760" s="7"/>
      <c r="I760" s="7"/>
      <c r="J760" s="7"/>
      <c r="K760" s="7"/>
      <c r="L760" s="7"/>
      <c r="M760" s="7"/>
      <c r="N760" s="7"/>
      <c r="O760" s="7"/>
      <c r="P760" s="7"/>
      <c r="Q760" s="7"/>
      <c r="R760" s="7"/>
      <c r="S760" s="7"/>
      <c r="T760" s="7"/>
      <c r="U760" s="7"/>
      <c r="V760" s="7"/>
      <c r="W760" s="7"/>
      <c r="X760" s="7"/>
      <c r="Y760" s="7"/>
      <c r="Z760" s="7"/>
      <c r="AA760" s="7"/>
      <c r="AB760" s="7"/>
      <c r="AC760" s="7"/>
      <c r="AD760" s="7"/>
      <c r="AE760" s="132"/>
      <c r="AF760" s="132"/>
    </row>
    <row r="761" spans="2:32">
      <c r="B761" s="7"/>
      <c r="C761" s="7"/>
      <c r="D761" s="7"/>
      <c r="E761" s="7"/>
      <c r="F761" s="7"/>
      <c r="G761" s="7"/>
      <c r="H761" s="7"/>
      <c r="I761" s="7"/>
      <c r="J761" s="7"/>
      <c r="K761" s="7"/>
      <c r="L761" s="7"/>
      <c r="M761" s="7"/>
      <c r="N761" s="7"/>
      <c r="O761" s="7"/>
      <c r="P761" s="7"/>
      <c r="Q761" s="7"/>
      <c r="R761" s="7"/>
      <c r="S761" s="7"/>
      <c r="T761" s="7"/>
      <c r="U761" s="7"/>
      <c r="V761" s="7"/>
      <c r="W761" s="7"/>
      <c r="X761" s="7"/>
      <c r="Y761" s="7"/>
      <c r="Z761" s="7"/>
      <c r="AA761" s="7"/>
      <c r="AB761" s="7"/>
      <c r="AC761" s="7"/>
      <c r="AD761" s="7"/>
      <c r="AE761" s="132"/>
      <c r="AF761" s="132"/>
    </row>
    <row r="762" spans="2:32">
      <c r="B762" s="7"/>
      <c r="C762" s="7"/>
      <c r="D762" s="7"/>
      <c r="E762" s="7"/>
      <c r="F762" s="7"/>
      <c r="G762" s="7"/>
      <c r="H762" s="7"/>
      <c r="I762" s="7"/>
      <c r="J762" s="7"/>
      <c r="K762" s="7"/>
      <c r="L762" s="7"/>
      <c r="M762" s="7"/>
      <c r="N762" s="7"/>
      <c r="O762" s="7"/>
      <c r="P762" s="7"/>
      <c r="Q762" s="7"/>
      <c r="R762" s="7"/>
      <c r="S762" s="7"/>
      <c r="T762" s="7"/>
      <c r="U762" s="7"/>
      <c r="V762" s="7"/>
      <c r="W762" s="7"/>
      <c r="X762" s="7"/>
      <c r="Y762" s="7"/>
      <c r="Z762" s="7"/>
      <c r="AA762" s="7"/>
      <c r="AB762" s="7"/>
      <c r="AC762" s="7"/>
      <c r="AD762" s="7"/>
      <c r="AE762" s="132"/>
      <c r="AF762" s="132"/>
    </row>
    <row r="763" spans="2:32">
      <c r="B763" s="7"/>
      <c r="C763" s="7"/>
      <c r="D763" s="7"/>
      <c r="E763" s="7"/>
      <c r="F763" s="7"/>
      <c r="G763" s="7"/>
      <c r="H763" s="7"/>
      <c r="I763" s="7"/>
      <c r="J763" s="7"/>
      <c r="K763" s="7"/>
      <c r="L763" s="7"/>
      <c r="M763" s="7"/>
      <c r="N763" s="7"/>
      <c r="O763" s="7"/>
      <c r="P763" s="7"/>
      <c r="Q763" s="7"/>
      <c r="R763" s="7"/>
      <c r="S763" s="7"/>
      <c r="T763" s="7"/>
      <c r="U763" s="7"/>
      <c r="V763" s="7"/>
      <c r="W763" s="7"/>
      <c r="X763" s="7"/>
      <c r="Y763" s="7"/>
      <c r="Z763" s="7"/>
      <c r="AA763" s="7"/>
      <c r="AB763" s="7"/>
      <c r="AC763" s="7"/>
      <c r="AD763" s="7"/>
      <c r="AE763" s="132"/>
      <c r="AF763" s="132"/>
    </row>
    <row r="764" spans="2:32">
      <c r="B764" s="7"/>
      <c r="C764" s="7"/>
      <c r="D764" s="7"/>
      <c r="E764" s="7"/>
      <c r="F764" s="7"/>
      <c r="G764" s="7"/>
      <c r="H764" s="7"/>
      <c r="I764" s="7"/>
      <c r="J764" s="7"/>
      <c r="K764" s="7"/>
      <c r="L764" s="7"/>
      <c r="M764" s="7"/>
      <c r="N764" s="7"/>
      <c r="O764" s="7"/>
      <c r="P764" s="7"/>
      <c r="Q764" s="7"/>
      <c r="R764" s="7"/>
      <c r="S764" s="7"/>
      <c r="T764" s="7"/>
      <c r="U764" s="7"/>
      <c r="V764" s="7"/>
      <c r="W764" s="7"/>
      <c r="X764" s="7"/>
      <c r="Y764" s="7"/>
      <c r="Z764" s="7"/>
      <c r="AA764" s="7"/>
      <c r="AB764" s="7"/>
      <c r="AC764" s="7"/>
      <c r="AD764" s="7"/>
      <c r="AE764" s="132"/>
      <c r="AF764" s="132"/>
    </row>
    <row r="765" spans="2:32">
      <c r="B765" s="7"/>
      <c r="C765" s="7"/>
      <c r="D765" s="7"/>
      <c r="E765" s="7"/>
      <c r="F765" s="7"/>
      <c r="G765" s="7"/>
      <c r="H765" s="7"/>
      <c r="I765" s="7"/>
      <c r="J765" s="7"/>
      <c r="K765" s="7"/>
      <c r="L765" s="7"/>
      <c r="M765" s="7"/>
      <c r="N765" s="7"/>
      <c r="O765" s="7"/>
      <c r="P765" s="7"/>
      <c r="Q765" s="7"/>
      <c r="R765" s="7"/>
      <c r="S765" s="7"/>
      <c r="T765" s="7"/>
      <c r="U765" s="7"/>
      <c r="V765" s="7"/>
      <c r="W765" s="7"/>
      <c r="X765" s="7"/>
      <c r="Y765" s="7"/>
      <c r="Z765" s="7"/>
      <c r="AA765" s="7"/>
      <c r="AB765" s="7"/>
      <c r="AC765" s="7"/>
      <c r="AD765" s="7"/>
      <c r="AE765" s="132"/>
      <c r="AF765" s="132"/>
    </row>
    <row r="766" spans="2:32">
      <c r="B766" s="7"/>
      <c r="C766" s="7"/>
      <c r="D766" s="7"/>
      <c r="E766" s="7"/>
      <c r="F766" s="7"/>
      <c r="G766" s="7"/>
      <c r="H766" s="7"/>
      <c r="I766" s="7"/>
      <c r="J766" s="7"/>
      <c r="K766" s="7"/>
      <c r="L766" s="7"/>
      <c r="M766" s="7"/>
      <c r="N766" s="7"/>
      <c r="O766" s="7"/>
      <c r="P766" s="7"/>
      <c r="Q766" s="7"/>
      <c r="R766" s="7"/>
      <c r="S766" s="7"/>
      <c r="T766" s="7"/>
      <c r="U766" s="7"/>
      <c r="V766" s="7"/>
      <c r="W766" s="7"/>
      <c r="X766" s="7"/>
      <c r="Y766" s="7"/>
      <c r="Z766" s="7"/>
      <c r="AA766" s="7"/>
      <c r="AB766" s="7"/>
      <c r="AC766" s="7"/>
      <c r="AD766" s="7"/>
      <c r="AE766" s="132"/>
      <c r="AF766" s="132"/>
    </row>
    <row r="767" spans="2:32">
      <c r="B767" s="7"/>
      <c r="C767" s="7"/>
      <c r="D767" s="7"/>
      <c r="E767" s="7"/>
      <c r="F767" s="7"/>
      <c r="G767" s="7"/>
      <c r="H767" s="7"/>
      <c r="I767" s="7"/>
      <c r="J767" s="7"/>
      <c r="K767" s="7"/>
      <c r="L767" s="7"/>
      <c r="M767" s="7"/>
      <c r="N767" s="7"/>
      <c r="O767" s="7"/>
      <c r="P767" s="7"/>
      <c r="Q767" s="7"/>
      <c r="R767" s="7"/>
      <c r="S767" s="7"/>
      <c r="T767" s="7"/>
      <c r="U767" s="7"/>
      <c r="V767" s="7"/>
      <c r="W767" s="7"/>
      <c r="X767" s="7"/>
      <c r="Y767" s="7"/>
      <c r="Z767" s="7"/>
      <c r="AA767" s="7"/>
      <c r="AB767" s="7"/>
      <c r="AC767" s="7"/>
      <c r="AD767" s="7"/>
      <c r="AE767" s="132"/>
      <c r="AF767" s="132"/>
    </row>
    <row r="768" spans="2:32">
      <c r="B768" s="7"/>
      <c r="C768" s="7"/>
      <c r="D768" s="7"/>
      <c r="E768" s="7"/>
      <c r="F768" s="7"/>
      <c r="G768" s="7"/>
      <c r="H768" s="7"/>
      <c r="I768" s="7"/>
      <c r="J768" s="7"/>
      <c r="K768" s="7"/>
      <c r="L768" s="7"/>
      <c r="M768" s="7"/>
      <c r="N768" s="7"/>
      <c r="O768" s="7"/>
      <c r="P768" s="7"/>
      <c r="Q768" s="7"/>
      <c r="R768" s="7"/>
      <c r="S768" s="7"/>
      <c r="T768" s="7"/>
      <c r="U768" s="7"/>
      <c r="V768" s="7"/>
      <c r="W768" s="7"/>
      <c r="X768" s="7"/>
      <c r="Y768" s="7"/>
      <c r="Z768" s="7"/>
      <c r="AA768" s="7"/>
      <c r="AB768" s="7"/>
      <c r="AC768" s="7"/>
      <c r="AD768" s="7"/>
      <c r="AE768" s="132"/>
      <c r="AF768" s="132"/>
    </row>
    <row r="769" spans="2:32">
      <c r="B769" s="7"/>
      <c r="C769" s="7"/>
      <c r="D769" s="7"/>
      <c r="E769" s="7"/>
      <c r="F769" s="7"/>
      <c r="G769" s="7"/>
      <c r="H769" s="7"/>
      <c r="I769" s="7"/>
      <c r="J769" s="7"/>
      <c r="K769" s="7"/>
      <c r="L769" s="7"/>
      <c r="M769" s="7"/>
      <c r="N769" s="7"/>
      <c r="O769" s="7"/>
      <c r="P769" s="7"/>
      <c r="Q769" s="7"/>
      <c r="R769" s="7"/>
      <c r="S769" s="7"/>
      <c r="T769" s="7"/>
      <c r="U769" s="7"/>
      <c r="V769" s="7"/>
      <c r="W769" s="7"/>
      <c r="X769" s="7"/>
      <c r="Y769" s="7"/>
      <c r="Z769" s="7"/>
      <c r="AA769" s="7"/>
      <c r="AB769" s="7"/>
      <c r="AC769" s="7"/>
      <c r="AD769" s="7"/>
      <c r="AE769" s="132"/>
      <c r="AF769" s="132"/>
    </row>
    <row r="770" spans="2:32">
      <c r="B770" s="7"/>
      <c r="C770" s="7"/>
      <c r="D770" s="7"/>
      <c r="E770" s="7"/>
      <c r="F770" s="7"/>
      <c r="G770" s="7"/>
      <c r="H770" s="7"/>
      <c r="I770" s="7"/>
      <c r="J770" s="7"/>
      <c r="K770" s="7"/>
      <c r="L770" s="7"/>
      <c r="M770" s="7"/>
      <c r="N770" s="7"/>
      <c r="O770" s="7"/>
      <c r="P770" s="7"/>
      <c r="Q770" s="7"/>
      <c r="R770" s="7"/>
      <c r="S770" s="7"/>
      <c r="T770" s="7"/>
      <c r="U770" s="7"/>
      <c r="V770" s="7"/>
      <c r="W770" s="7"/>
      <c r="X770" s="7"/>
      <c r="Y770" s="7"/>
      <c r="Z770" s="7"/>
      <c r="AA770" s="7"/>
      <c r="AB770" s="7"/>
      <c r="AC770" s="7"/>
      <c r="AD770" s="7"/>
      <c r="AE770" s="132"/>
      <c r="AF770" s="132"/>
    </row>
    <row r="771" spans="2:32">
      <c r="B771" s="7"/>
      <c r="C771" s="7"/>
      <c r="D771" s="7"/>
      <c r="E771" s="7"/>
      <c r="F771" s="7"/>
      <c r="G771" s="7"/>
      <c r="H771" s="7"/>
      <c r="I771" s="7"/>
      <c r="J771" s="7"/>
      <c r="K771" s="7"/>
      <c r="L771" s="7"/>
      <c r="M771" s="7"/>
      <c r="N771" s="7"/>
      <c r="O771" s="7"/>
      <c r="P771" s="7"/>
      <c r="Q771" s="7"/>
      <c r="R771" s="7"/>
      <c r="S771" s="7"/>
      <c r="T771" s="7"/>
      <c r="U771" s="7"/>
      <c r="V771" s="7"/>
      <c r="W771" s="7"/>
      <c r="X771" s="7"/>
      <c r="Y771" s="7"/>
      <c r="Z771" s="7"/>
      <c r="AA771" s="7"/>
      <c r="AB771" s="7"/>
      <c r="AC771" s="7"/>
      <c r="AD771" s="7"/>
      <c r="AE771" s="132"/>
      <c r="AF771" s="132"/>
    </row>
    <row r="772" spans="2:32">
      <c r="B772" s="7"/>
      <c r="C772" s="7"/>
      <c r="D772" s="7"/>
      <c r="E772" s="7"/>
      <c r="F772" s="7"/>
      <c r="G772" s="7"/>
      <c r="H772" s="7"/>
      <c r="I772" s="7"/>
      <c r="J772" s="7"/>
      <c r="K772" s="7"/>
      <c r="L772" s="7"/>
      <c r="M772" s="7"/>
      <c r="N772" s="7"/>
      <c r="O772" s="7"/>
      <c r="P772" s="7"/>
      <c r="Q772" s="7"/>
      <c r="R772" s="7"/>
      <c r="S772" s="7"/>
      <c r="T772" s="7"/>
      <c r="U772" s="7"/>
      <c r="V772" s="7"/>
      <c r="W772" s="7"/>
      <c r="X772" s="7"/>
      <c r="Y772" s="7"/>
      <c r="Z772" s="7"/>
      <c r="AA772" s="7"/>
      <c r="AB772" s="7"/>
      <c r="AC772" s="7"/>
      <c r="AD772" s="7"/>
      <c r="AE772" s="132"/>
      <c r="AF772" s="132"/>
    </row>
    <row r="773" spans="2:32">
      <c r="B773" s="7"/>
      <c r="C773" s="7"/>
      <c r="D773" s="7"/>
      <c r="E773" s="7"/>
      <c r="F773" s="7"/>
      <c r="G773" s="7"/>
      <c r="H773" s="7"/>
      <c r="I773" s="7"/>
      <c r="J773" s="7"/>
      <c r="K773" s="7"/>
      <c r="L773" s="7"/>
      <c r="M773" s="7"/>
      <c r="N773" s="7"/>
      <c r="O773" s="7"/>
      <c r="P773" s="7"/>
      <c r="Q773" s="7"/>
      <c r="R773" s="7"/>
      <c r="S773" s="7"/>
      <c r="T773" s="7"/>
      <c r="U773" s="7"/>
      <c r="V773" s="7"/>
      <c r="W773" s="7"/>
      <c r="X773" s="7"/>
      <c r="Y773" s="7"/>
      <c r="Z773" s="7"/>
      <c r="AA773" s="7"/>
      <c r="AB773" s="7"/>
      <c r="AC773" s="7"/>
      <c r="AD773" s="7"/>
      <c r="AE773" s="132"/>
      <c r="AF773" s="132"/>
    </row>
    <row r="774" spans="2:32">
      <c r="B774" s="7"/>
      <c r="C774" s="7"/>
      <c r="D774" s="7"/>
      <c r="E774" s="7"/>
      <c r="F774" s="7"/>
      <c r="G774" s="7"/>
      <c r="H774" s="7"/>
      <c r="I774" s="7"/>
      <c r="J774" s="7"/>
      <c r="K774" s="7"/>
      <c r="L774" s="7"/>
      <c r="M774" s="7"/>
      <c r="N774" s="7"/>
      <c r="O774" s="7"/>
      <c r="P774" s="7"/>
      <c r="Q774" s="7"/>
      <c r="R774" s="7"/>
      <c r="S774" s="7"/>
      <c r="T774" s="7"/>
      <c r="U774" s="7"/>
      <c r="V774" s="7"/>
      <c r="W774" s="7"/>
      <c r="X774" s="7"/>
      <c r="Y774" s="7"/>
      <c r="Z774" s="7"/>
      <c r="AA774" s="7"/>
      <c r="AB774" s="7"/>
      <c r="AC774" s="7"/>
      <c r="AD774" s="7"/>
      <c r="AE774" s="132"/>
      <c r="AF774" s="132"/>
    </row>
    <row r="775" spans="2:32">
      <c r="B775" s="7"/>
      <c r="C775" s="7"/>
      <c r="D775" s="7"/>
      <c r="E775" s="7"/>
      <c r="F775" s="7"/>
      <c r="G775" s="7"/>
      <c r="H775" s="7"/>
      <c r="I775" s="7"/>
      <c r="J775" s="7"/>
      <c r="K775" s="7"/>
      <c r="L775" s="7"/>
      <c r="M775" s="7"/>
      <c r="N775" s="7"/>
      <c r="O775" s="7"/>
      <c r="P775" s="7"/>
      <c r="Q775" s="7"/>
      <c r="R775" s="7"/>
      <c r="S775" s="7"/>
      <c r="T775" s="7"/>
      <c r="U775" s="7"/>
      <c r="V775" s="7"/>
      <c r="W775" s="7"/>
      <c r="X775" s="7"/>
      <c r="Y775" s="7"/>
      <c r="Z775" s="7"/>
      <c r="AA775" s="7"/>
      <c r="AB775" s="7"/>
      <c r="AC775" s="7"/>
      <c r="AD775" s="7"/>
      <c r="AE775" s="132"/>
      <c r="AF775" s="132"/>
    </row>
    <row r="776" spans="2:32">
      <c r="B776" s="7"/>
      <c r="C776" s="7"/>
      <c r="D776" s="7"/>
      <c r="E776" s="7"/>
      <c r="F776" s="7"/>
      <c r="G776" s="7"/>
      <c r="H776" s="7"/>
      <c r="I776" s="7"/>
      <c r="J776" s="7"/>
      <c r="K776" s="7"/>
      <c r="L776" s="7"/>
      <c r="M776" s="7"/>
      <c r="N776" s="7"/>
      <c r="O776" s="7"/>
      <c r="P776" s="7"/>
      <c r="Q776" s="7"/>
      <c r="R776" s="7"/>
      <c r="S776" s="7"/>
      <c r="T776" s="7"/>
      <c r="U776" s="7"/>
      <c r="V776" s="7"/>
      <c r="W776" s="7"/>
      <c r="X776" s="7"/>
      <c r="Y776" s="7"/>
      <c r="Z776" s="7"/>
      <c r="AA776" s="7"/>
      <c r="AB776" s="7"/>
      <c r="AC776" s="7"/>
      <c r="AD776" s="7"/>
      <c r="AE776" s="132"/>
      <c r="AF776" s="132"/>
    </row>
    <row r="777" spans="2:32">
      <c r="B777" s="7"/>
      <c r="C777" s="7"/>
      <c r="D777" s="7"/>
      <c r="E777" s="7"/>
      <c r="F777" s="7"/>
      <c r="G777" s="7"/>
      <c r="H777" s="7"/>
      <c r="I777" s="7"/>
      <c r="J777" s="7"/>
      <c r="K777" s="7"/>
      <c r="L777" s="7"/>
      <c r="M777" s="7"/>
      <c r="N777" s="7"/>
      <c r="O777" s="7"/>
      <c r="P777" s="7"/>
      <c r="Q777" s="7"/>
      <c r="R777" s="7"/>
      <c r="S777" s="7"/>
      <c r="T777" s="7"/>
      <c r="U777" s="7"/>
      <c r="V777" s="7"/>
      <c r="W777" s="7"/>
      <c r="X777" s="7"/>
      <c r="Y777" s="7"/>
      <c r="Z777" s="7"/>
      <c r="AA777" s="7"/>
      <c r="AB777" s="7"/>
      <c r="AC777" s="7"/>
      <c r="AD777" s="7"/>
      <c r="AE777" s="132"/>
      <c r="AF777" s="132"/>
    </row>
    <row r="778" spans="2:32">
      <c r="B778" s="7"/>
      <c r="C778" s="7"/>
      <c r="D778" s="7"/>
      <c r="E778" s="7"/>
      <c r="F778" s="7"/>
      <c r="G778" s="7"/>
      <c r="H778" s="7"/>
      <c r="I778" s="7"/>
      <c r="J778" s="7"/>
      <c r="K778" s="7"/>
      <c r="L778" s="7"/>
      <c r="M778" s="7"/>
      <c r="N778" s="7"/>
      <c r="O778" s="7"/>
      <c r="P778" s="7"/>
      <c r="Q778" s="7"/>
      <c r="R778" s="7"/>
      <c r="S778" s="7"/>
      <c r="T778" s="7"/>
      <c r="U778" s="7"/>
      <c r="V778" s="7"/>
      <c r="W778" s="7"/>
      <c r="X778" s="7"/>
      <c r="Y778" s="7"/>
      <c r="Z778" s="7"/>
      <c r="AA778" s="7"/>
      <c r="AB778" s="7"/>
      <c r="AC778" s="7"/>
      <c r="AD778" s="7"/>
      <c r="AE778" s="132"/>
      <c r="AF778" s="132"/>
    </row>
    <row r="779" spans="2:32">
      <c r="B779" s="7"/>
      <c r="C779" s="7"/>
      <c r="D779" s="7"/>
      <c r="E779" s="7"/>
      <c r="F779" s="7"/>
      <c r="G779" s="7"/>
      <c r="H779" s="7"/>
      <c r="I779" s="7"/>
      <c r="J779" s="7"/>
      <c r="K779" s="7"/>
      <c r="L779" s="7"/>
      <c r="M779" s="7"/>
      <c r="N779" s="7"/>
      <c r="O779" s="7"/>
      <c r="P779" s="7"/>
      <c r="Q779" s="7"/>
      <c r="R779" s="7"/>
      <c r="S779" s="7"/>
      <c r="T779" s="7"/>
      <c r="U779" s="7"/>
      <c r="V779" s="7"/>
      <c r="W779" s="7"/>
      <c r="X779" s="7"/>
      <c r="Y779" s="7"/>
      <c r="Z779" s="7"/>
      <c r="AA779" s="7"/>
      <c r="AB779" s="7"/>
      <c r="AC779" s="7"/>
      <c r="AD779" s="7"/>
      <c r="AE779" s="132"/>
      <c r="AF779" s="132"/>
    </row>
    <row r="780" spans="2:32">
      <c r="B780" s="7"/>
      <c r="C780" s="7"/>
      <c r="D780" s="7"/>
      <c r="E780" s="7"/>
      <c r="F780" s="7"/>
      <c r="G780" s="7"/>
      <c r="H780" s="7"/>
      <c r="I780" s="7"/>
      <c r="J780" s="7"/>
      <c r="K780" s="7"/>
      <c r="L780" s="7"/>
      <c r="M780" s="7"/>
      <c r="N780" s="7"/>
      <c r="O780" s="7"/>
      <c r="P780" s="7"/>
      <c r="Q780" s="7"/>
      <c r="R780" s="7"/>
      <c r="S780" s="7"/>
      <c r="T780" s="7"/>
      <c r="U780" s="7"/>
      <c r="V780" s="7"/>
      <c r="W780" s="7"/>
      <c r="X780" s="7"/>
      <c r="Y780" s="7"/>
      <c r="Z780" s="7"/>
      <c r="AA780" s="7"/>
      <c r="AB780" s="7"/>
      <c r="AC780" s="7"/>
      <c r="AD780" s="7"/>
      <c r="AE780" s="132"/>
      <c r="AF780" s="132"/>
    </row>
    <row r="781" spans="2:32">
      <c r="B781" s="7"/>
      <c r="C781" s="7"/>
      <c r="D781" s="7"/>
      <c r="E781" s="7"/>
      <c r="F781" s="7"/>
      <c r="G781" s="7"/>
      <c r="H781" s="7"/>
      <c r="I781" s="7"/>
      <c r="J781" s="7"/>
      <c r="K781" s="7"/>
      <c r="L781" s="7"/>
      <c r="M781" s="7"/>
      <c r="N781" s="7"/>
      <c r="O781" s="7"/>
      <c r="P781" s="7"/>
      <c r="Q781" s="7"/>
      <c r="R781" s="7"/>
      <c r="S781" s="7"/>
      <c r="T781" s="7"/>
      <c r="U781" s="7"/>
      <c r="V781" s="7"/>
      <c r="W781" s="7"/>
      <c r="X781" s="7"/>
      <c r="Y781" s="7"/>
      <c r="Z781" s="7"/>
      <c r="AA781" s="7"/>
      <c r="AB781" s="7"/>
      <c r="AC781" s="7"/>
      <c r="AD781" s="7"/>
      <c r="AE781" s="132"/>
      <c r="AF781" s="132"/>
    </row>
    <row r="782" spans="2:32">
      <c r="B782" s="7"/>
      <c r="C782" s="7"/>
      <c r="D782" s="7"/>
      <c r="E782" s="7"/>
      <c r="F782" s="7"/>
      <c r="G782" s="7"/>
      <c r="H782" s="7"/>
      <c r="I782" s="7"/>
      <c r="J782" s="7"/>
      <c r="K782" s="7"/>
      <c r="L782" s="7"/>
      <c r="M782" s="7"/>
      <c r="N782" s="7"/>
      <c r="O782" s="7"/>
      <c r="P782" s="7"/>
      <c r="Q782" s="7"/>
      <c r="R782" s="7"/>
      <c r="S782" s="7"/>
      <c r="T782" s="7"/>
      <c r="U782" s="7"/>
      <c r="V782" s="7"/>
      <c r="W782" s="7"/>
      <c r="X782" s="7"/>
      <c r="Y782" s="7"/>
      <c r="Z782" s="7"/>
      <c r="AA782" s="7"/>
      <c r="AB782" s="7"/>
      <c r="AC782" s="7"/>
      <c r="AD782" s="7"/>
      <c r="AE782" s="132"/>
      <c r="AF782" s="132"/>
    </row>
    <row r="783" spans="2:32">
      <c r="B783" s="7"/>
      <c r="C783" s="7"/>
      <c r="D783" s="7"/>
      <c r="E783" s="7"/>
      <c r="F783" s="7"/>
      <c r="G783" s="7"/>
      <c r="H783" s="7"/>
      <c r="I783" s="7"/>
      <c r="J783" s="7"/>
      <c r="K783" s="7"/>
      <c r="L783" s="7"/>
      <c r="M783" s="7"/>
      <c r="N783" s="7"/>
      <c r="O783" s="7"/>
      <c r="P783" s="7"/>
      <c r="Q783" s="7"/>
      <c r="R783" s="7"/>
      <c r="S783" s="7"/>
      <c r="T783" s="7"/>
      <c r="U783" s="7"/>
      <c r="V783" s="7"/>
      <c r="W783" s="7"/>
      <c r="X783" s="7"/>
      <c r="Y783" s="7"/>
      <c r="Z783" s="7"/>
      <c r="AA783" s="7"/>
      <c r="AB783" s="7"/>
      <c r="AC783" s="7"/>
      <c r="AD783" s="7"/>
      <c r="AE783" s="132"/>
      <c r="AF783" s="132"/>
    </row>
    <row r="784" spans="2:32">
      <c r="B784" s="7"/>
      <c r="C784" s="7"/>
      <c r="D784" s="7"/>
      <c r="E784" s="7"/>
      <c r="F784" s="7"/>
      <c r="G784" s="7"/>
      <c r="H784" s="7"/>
      <c r="I784" s="7"/>
      <c r="J784" s="7"/>
      <c r="K784" s="7"/>
      <c r="L784" s="7"/>
      <c r="M784" s="7"/>
      <c r="N784" s="7"/>
      <c r="O784" s="7"/>
      <c r="P784" s="7"/>
      <c r="Q784" s="7"/>
      <c r="R784" s="7"/>
      <c r="S784" s="7"/>
      <c r="T784" s="7"/>
      <c r="U784" s="7"/>
      <c r="V784" s="7"/>
      <c r="W784" s="7"/>
      <c r="X784" s="7"/>
      <c r="Y784" s="7"/>
      <c r="Z784" s="7"/>
      <c r="AA784" s="7"/>
      <c r="AB784" s="7"/>
      <c r="AC784" s="7"/>
      <c r="AD784" s="7"/>
      <c r="AE784" s="132"/>
      <c r="AF784" s="132"/>
    </row>
    <row r="785" spans="2:32">
      <c r="B785" s="7"/>
      <c r="C785" s="7"/>
      <c r="D785" s="7"/>
      <c r="E785" s="7"/>
      <c r="F785" s="7"/>
      <c r="G785" s="7"/>
      <c r="H785" s="7"/>
      <c r="I785" s="7"/>
      <c r="J785" s="7"/>
      <c r="K785" s="7"/>
      <c r="L785" s="7"/>
      <c r="M785" s="7"/>
      <c r="N785" s="7"/>
      <c r="O785" s="7"/>
      <c r="P785" s="7"/>
      <c r="Q785" s="7"/>
      <c r="R785" s="7"/>
      <c r="S785" s="7"/>
      <c r="T785" s="7"/>
      <c r="U785" s="7"/>
      <c r="V785" s="7"/>
      <c r="W785" s="7"/>
      <c r="X785" s="7"/>
      <c r="Y785" s="7"/>
      <c r="Z785" s="7"/>
      <c r="AA785" s="7"/>
      <c r="AB785" s="7"/>
      <c r="AC785" s="7"/>
      <c r="AD785" s="7"/>
      <c r="AE785" s="132"/>
      <c r="AF785" s="132"/>
    </row>
    <row r="786" spans="2:32">
      <c r="B786" s="7"/>
      <c r="C786" s="7"/>
      <c r="D786" s="7"/>
      <c r="E786" s="7"/>
      <c r="F786" s="7"/>
      <c r="G786" s="7"/>
      <c r="H786" s="7"/>
      <c r="I786" s="7"/>
      <c r="J786" s="7"/>
      <c r="K786" s="7"/>
      <c r="L786" s="7"/>
      <c r="M786" s="7"/>
      <c r="N786" s="7"/>
      <c r="O786" s="7"/>
      <c r="P786" s="7"/>
      <c r="Q786" s="7"/>
      <c r="R786" s="7"/>
      <c r="S786" s="7"/>
      <c r="T786" s="7"/>
      <c r="U786" s="7"/>
      <c r="V786" s="7"/>
      <c r="W786" s="7"/>
      <c r="X786" s="7"/>
      <c r="Y786" s="7"/>
      <c r="Z786" s="7"/>
      <c r="AA786" s="7"/>
      <c r="AB786" s="7"/>
      <c r="AC786" s="7"/>
      <c r="AD786" s="7"/>
      <c r="AE786" s="132"/>
      <c r="AF786" s="132"/>
    </row>
    <row r="787" spans="2:32">
      <c r="B787" s="7"/>
      <c r="C787" s="7"/>
      <c r="D787" s="7"/>
      <c r="E787" s="7"/>
      <c r="F787" s="7"/>
      <c r="G787" s="7"/>
      <c r="H787" s="7"/>
      <c r="I787" s="7"/>
      <c r="J787" s="7"/>
      <c r="K787" s="7"/>
      <c r="L787" s="7"/>
      <c r="M787" s="7"/>
      <c r="N787" s="7"/>
      <c r="O787" s="7"/>
      <c r="P787" s="7"/>
      <c r="Q787" s="7"/>
      <c r="R787" s="7"/>
      <c r="S787" s="7"/>
      <c r="T787" s="7"/>
      <c r="U787" s="7"/>
      <c r="V787" s="7"/>
      <c r="W787" s="7"/>
      <c r="X787" s="7"/>
      <c r="Y787" s="7"/>
      <c r="Z787" s="7"/>
      <c r="AA787" s="7"/>
      <c r="AB787" s="7"/>
      <c r="AC787" s="7"/>
      <c r="AD787" s="7"/>
      <c r="AE787" s="132"/>
      <c r="AF787" s="132"/>
    </row>
    <row r="788" spans="2:32">
      <c r="B788" s="7"/>
      <c r="C788" s="7"/>
      <c r="D788" s="7"/>
      <c r="E788" s="7"/>
      <c r="F788" s="7"/>
      <c r="G788" s="7"/>
      <c r="H788" s="7"/>
      <c r="I788" s="7"/>
      <c r="J788" s="7"/>
      <c r="K788" s="7"/>
      <c r="L788" s="7"/>
      <c r="M788" s="7"/>
      <c r="N788" s="7"/>
      <c r="O788" s="7"/>
      <c r="P788" s="7"/>
      <c r="Q788" s="7"/>
      <c r="R788" s="7"/>
      <c r="S788" s="7"/>
      <c r="T788" s="7"/>
      <c r="U788" s="7"/>
      <c r="V788" s="7"/>
      <c r="W788" s="7"/>
      <c r="X788" s="7"/>
      <c r="Y788" s="7"/>
      <c r="Z788" s="7"/>
      <c r="AA788" s="7"/>
      <c r="AB788" s="7"/>
      <c r="AC788" s="7"/>
      <c r="AD788" s="7"/>
      <c r="AE788" s="132"/>
      <c r="AF788" s="132"/>
    </row>
    <row r="789" spans="2:32">
      <c r="B789" s="7"/>
      <c r="C789" s="7"/>
      <c r="D789" s="7"/>
      <c r="E789" s="7"/>
      <c r="F789" s="7"/>
      <c r="G789" s="7"/>
      <c r="H789" s="7"/>
      <c r="I789" s="7"/>
      <c r="J789" s="7"/>
      <c r="K789" s="7"/>
      <c r="L789" s="7"/>
      <c r="M789" s="7"/>
      <c r="N789" s="7"/>
      <c r="O789" s="7"/>
      <c r="P789" s="7"/>
      <c r="Q789" s="7"/>
      <c r="R789" s="7"/>
      <c r="S789" s="7"/>
      <c r="T789" s="7"/>
      <c r="U789" s="7"/>
      <c r="V789" s="7"/>
      <c r="W789" s="7"/>
      <c r="X789" s="7"/>
      <c r="Y789" s="7"/>
      <c r="Z789" s="7"/>
      <c r="AA789" s="7"/>
      <c r="AB789" s="7"/>
      <c r="AC789" s="7"/>
      <c r="AD789" s="7"/>
      <c r="AE789" s="132"/>
      <c r="AF789" s="132"/>
    </row>
    <row r="790" spans="2:32">
      <c r="B790" s="7"/>
      <c r="C790" s="7"/>
      <c r="D790" s="7"/>
      <c r="E790" s="7"/>
      <c r="F790" s="7"/>
      <c r="G790" s="7"/>
      <c r="H790" s="7"/>
      <c r="I790" s="7"/>
      <c r="J790" s="7"/>
      <c r="K790" s="7"/>
      <c r="L790" s="7"/>
      <c r="M790" s="7"/>
      <c r="N790" s="7"/>
      <c r="O790" s="7"/>
      <c r="P790" s="7"/>
      <c r="Q790" s="7"/>
      <c r="R790" s="7"/>
      <c r="S790" s="7"/>
      <c r="T790" s="7"/>
      <c r="U790" s="7"/>
      <c r="V790" s="7"/>
      <c r="W790" s="7"/>
      <c r="X790" s="7"/>
      <c r="Y790" s="7"/>
      <c r="Z790" s="7"/>
      <c r="AA790" s="7"/>
      <c r="AB790" s="7"/>
      <c r="AC790" s="7"/>
      <c r="AD790" s="7"/>
      <c r="AE790" s="132"/>
      <c r="AF790" s="132"/>
    </row>
    <row r="791" spans="2:32">
      <c r="B791" s="7"/>
      <c r="C791" s="7"/>
      <c r="D791" s="7"/>
      <c r="E791" s="7"/>
      <c r="F791" s="7"/>
      <c r="G791" s="7"/>
      <c r="H791" s="7"/>
      <c r="I791" s="7"/>
      <c r="J791" s="7"/>
      <c r="K791" s="7"/>
      <c r="L791" s="7"/>
      <c r="M791" s="7"/>
      <c r="N791" s="7"/>
      <c r="O791" s="7"/>
      <c r="P791" s="7"/>
      <c r="Q791" s="7"/>
      <c r="R791" s="7"/>
      <c r="S791" s="7"/>
      <c r="T791" s="7"/>
      <c r="U791" s="7"/>
      <c r="V791" s="7"/>
      <c r="W791" s="7"/>
      <c r="X791" s="7"/>
      <c r="Y791" s="7"/>
      <c r="Z791" s="7"/>
      <c r="AA791" s="7"/>
      <c r="AB791" s="7"/>
      <c r="AC791" s="7"/>
      <c r="AD791" s="7"/>
      <c r="AE791" s="132"/>
      <c r="AF791" s="132"/>
    </row>
    <row r="792" spans="2:32">
      <c r="B792" s="7"/>
      <c r="C792" s="7"/>
      <c r="D792" s="7"/>
      <c r="E792" s="7"/>
      <c r="F792" s="7"/>
      <c r="G792" s="7"/>
      <c r="H792" s="7"/>
      <c r="I792" s="7"/>
      <c r="J792" s="7"/>
      <c r="K792" s="7"/>
      <c r="L792" s="7"/>
      <c r="M792" s="7"/>
      <c r="N792" s="7"/>
      <c r="O792" s="7"/>
      <c r="P792" s="7"/>
      <c r="Q792" s="7"/>
      <c r="R792" s="7"/>
      <c r="S792" s="7"/>
      <c r="T792" s="7"/>
      <c r="U792" s="7"/>
      <c r="V792" s="7"/>
      <c r="W792" s="7"/>
      <c r="X792" s="7"/>
      <c r="Y792" s="7"/>
      <c r="Z792" s="7"/>
      <c r="AA792" s="7"/>
      <c r="AB792" s="7"/>
      <c r="AC792" s="7"/>
      <c r="AD792" s="7"/>
      <c r="AE792" s="132"/>
      <c r="AF792" s="132"/>
    </row>
    <row r="793" spans="2:32">
      <c r="B793" s="7"/>
      <c r="C793" s="7"/>
      <c r="D793" s="7"/>
      <c r="E793" s="7"/>
      <c r="F793" s="7"/>
      <c r="G793" s="7"/>
      <c r="H793" s="7"/>
      <c r="I793" s="7"/>
      <c r="J793" s="7"/>
      <c r="K793" s="7"/>
      <c r="L793" s="7"/>
      <c r="M793" s="7"/>
      <c r="N793" s="7"/>
      <c r="O793" s="7"/>
      <c r="P793" s="7"/>
      <c r="Q793" s="7"/>
      <c r="R793" s="7"/>
      <c r="S793" s="7"/>
      <c r="T793" s="7"/>
      <c r="U793" s="7"/>
      <c r="V793" s="7"/>
      <c r="W793" s="7"/>
      <c r="X793" s="7"/>
      <c r="Y793" s="7"/>
      <c r="Z793" s="7"/>
      <c r="AA793" s="7"/>
      <c r="AB793" s="7"/>
      <c r="AC793" s="7"/>
      <c r="AD793" s="7"/>
      <c r="AE793" s="132"/>
      <c r="AF793" s="132"/>
    </row>
    <row r="794" spans="2:32">
      <c r="B794" s="7"/>
      <c r="C794" s="7"/>
      <c r="D794" s="7"/>
      <c r="E794" s="7"/>
      <c r="F794" s="7"/>
      <c r="G794" s="7"/>
      <c r="H794" s="7"/>
      <c r="I794" s="7"/>
      <c r="J794" s="7"/>
      <c r="K794" s="7"/>
      <c r="L794" s="7"/>
      <c r="M794" s="7"/>
      <c r="N794" s="7"/>
      <c r="O794" s="7"/>
      <c r="P794" s="7"/>
      <c r="Q794" s="7"/>
      <c r="R794" s="7"/>
      <c r="S794" s="7"/>
      <c r="T794" s="7"/>
      <c r="U794" s="7"/>
      <c r="V794" s="7"/>
      <c r="W794" s="7"/>
      <c r="X794" s="7"/>
      <c r="Y794" s="7"/>
      <c r="Z794" s="7"/>
      <c r="AA794" s="7"/>
      <c r="AB794" s="7"/>
      <c r="AC794" s="7"/>
      <c r="AD794" s="7"/>
      <c r="AE794" s="132"/>
      <c r="AF794" s="132"/>
    </row>
    <row r="795" spans="2:32">
      <c r="B795" s="7"/>
      <c r="C795" s="7"/>
      <c r="D795" s="7"/>
      <c r="E795" s="7"/>
      <c r="F795" s="7"/>
      <c r="G795" s="7"/>
      <c r="H795" s="7"/>
      <c r="I795" s="7"/>
      <c r="J795" s="7"/>
      <c r="K795" s="7"/>
      <c r="L795" s="7"/>
      <c r="M795" s="7"/>
      <c r="N795" s="7"/>
      <c r="O795" s="7"/>
      <c r="P795" s="7"/>
      <c r="Q795" s="7"/>
      <c r="R795" s="7"/>
      <c r="S795" s="7"/>
      <c r="T795" s="7"/>
      <c r="U795" s="7"/>
      <c r="V795" s="7"/>
      <c r="W795" s="7"/>
      <c r="X795" s="7"/>
      <c r="Y795" s="7"/>
      <c r="Z795" s="7"/>
      <c r="AA795" s="7"/>
      <c r="AB795" s="7"/>
      <c r="AC795" s="7"/>
      <c r="AD795" s="7"/>
      <c r="AE795" s="132"/>
      <c r="AF795" s="132"/>
    </row>
    <row r="796" spans="2:32">
      <c r="B796" s="7"/>
      <c r="C796" s="7"/>
      <c r="D796" s="7"/>
      <c r="E796" s="7"/>
      <c r="F796" s="7"/>
      <c r="G796" s="7"/>
      <c r="H796" s="7"/>
      <c r="I796" s="7"/>
      <c r="J796" s="7"/>
      <c r="K796" s="7"/>
      <c r="L796" s="7"/>
      <c r="M796" s="7"/>
      <c r="N796" s="7"/>
      <c r="O796" s="7"/>
      <c r="P796" s="7"/>
      <c r="Q796" s="7"/>
      <c r="R796" s="7"/>
      <c r="S796" s="7"/>
      <c r="T796" s="7"/>
      <c r="U796" s="7"/>
      <c r="V796" s="7"/>
      <c r="W796" s="7"/>
      <c r="X796" s="7"/>
      <c r="Y796" s="7"/>
      <c r="Z796" s="7"/>
      <c r="AA796" s="7"/>
      <c r="AB796" s="7"/>
      <c r="AC796" s="7"/>
      <c r="AD796" s="7"/>
      <c r="AE796" s="132"/>
      <c r="AF796" s="132"/>
    </row>
    <row r="797" spans="2:32">
      <c r="B797" s="7"/>
      <c r="C797" s="7"/>
      <c r="D797" s="7"/>
      <c r="E797" s="7"/>
      <c r="F797" s="7"/>
      <c r="G797" s="7"/>
      <c r="H797" s="7"/>
      <c r="I797" s="7"/>
      <c r="J797" s="7"/>
      <c r="K797" s="7"/>
      <c r="L797" s="7"/>
      <c r="M797" s="7"/>
      <c r="N797" s="7"/>
      <c r="O797" s="7"/>
      <c r="P797" s="7"/>
      <c r="Q797" s="7"/>
      <c r="R797" s="7"/>
      <c r="S797" s="7"/>
      <c r="T797" s="7"/>
      <c r="U797" s="7"/>
      <c r="V797" s="7"/>
      <c r="W797" s="7"/>
      <c r="X797" s="7"/>
      <c r="Y797" s="7"/>
      <c r="Z797" s="7"/>
      <c r="AA797" s="7"/>
      <c r="AB797" s="7"/>
      <c r="AC797" s="7"/>
      <c r="AD797" s="7"/>
      <c r="AE797" s="132"/>
      <c r="AF797" s="132"/>
    </row>
    <row r="798" spans="2:32">
      <c r="B798" s="7"/>
      <c r="C798" s="7"/>
      <c r="D798" s="7"/>
      <c r="E798" s="7"/>
      <c r="F798" s="7"/>
      <c r="G798" s="7"/>
      <c r="H798" s="7"/>
      <c r="I798" s="7"/>
      <c r="J798" s="7"/>
      <c r="K798" s="7"/>
      <c r="L798" s="7"/>
      <c r="M798" s="7"/>
      <c r="N798" s="7"/>
      <c r="O798" s="7"/>
      <c r="P798" s="7"/>
      <c r="Q798" s="7"/>
      <c r="R798" s="7"/>
      <c r="S798" s="7"/>
      <c r="T798" s="7"/>
      <c r="U798" s="7"/>
      <c r="V798" s="7"/>
      <c r="W798" s="7"/>
      <c r="X798" s="7"/>
      <c r="Y798" s="7"/>
      <c r="Z798" s="7"/>
      <c r="AA798" s="7"/>
      <c r="AB798" s="7"/>
      <c r="AC798" s="7"/>
      <c r="AD798" s="7"/>
      <c r="AE798" s="132"/>
      <c r="AF798" s="132"/>
    </row>
    <row r="799" spans="2:32">
      <c r="B799" s="7"/>
      <c r="C799" s="7"/>
      <c r="D799" s="7"/>
      <c r="E799" s="7"/>
      <c r="F799" s="7"/>
      <c r="G799" s="7"/>
      <c r="H799" s="7"/>
      <c r="I799" s="7"/>
      <c r="J799" s="7"/>
      <c r="K799" s="7"/>
      <c r="L799" s="7"/>
      <c r="M799" s="7"/>
      <c r="N799" s="7"/>
      <c r="O799" s="7"/>
      <c r="P799" s="7"/>
      <c r="Q799" s="7"/>
      <c r="R799" s="7"/>
      <c r="S799" s="7"/>
      <c r="T799" s="7"/>
      <c r="U799" s="7"/>
      <c r="V799" s="7"/>
      <c r="W799" s="7"/>
      <c r="X799" s="7"/>
      <c r="Y799" s="7"/>
      <c r="Z799" s="7"/>
      <c r="AA799" s="7"/>
      <c r="AB799" s="7"/>
      <c r="AC799" s="7"/>
      <c r="AD799" s="7"/>
      <c r="AE799" s="132"/>
      <c r="AF799" s="132"/>
    </row>
    <row r="800" spans="2:32">
      <c r="B800" s="7"/>
      <c r="C800" s="7"/>
      <c r="D800" s="7"/>
      <c r="E800" s="7"/>
      <c r="F800" s="7"/>
      <c r="G800" s="7"/>
      <c r="H800" s="7"/>
      <c r="I800" s="7"/>
      <c r="J800" s="7"/>
      <c r="K800" s="7"/>
      <c r="L800" s="7"/>
      <c r="M800" s="7"/>
      <c r="N800" s="7"/>
      <c r="O800" s="7"/>
      <c r="P800" s="7"/>
      <c r="Q800" s="7"/>
      <c r="R800" s="7"/>
      <c r="S800" s="7"/>
      <c r="T800" s="7"/>
      <c r="U800" s="7"/>
      <c r="V800" s="7"/>
      <c r="W800" s="7"/>
      <c r="X800" s="7"/>
      <c r="Y800" s="7"/>
      <c r="Z800" s="7"/>
      <c r="AA800" s="7"/>
      <c r="AB800" s="7"/>
      <c r="AC800" s="7"/>
      <c r="AD800" s="7"/>
      <c r="AE800" s="132"/>
      <c r="AF800" s="132"/>
    </row>
    <row r="801" spans="2:32">
      <c r="B801" s="7"/>
      <c r="C801" s="7"/>
      <c r="D801" s="7"/>
      <c r="E801" s="7"/>
      <c r="F801" s="7"/>
      <c r="G801" s="7"/>
      <c r="H801" s="7"/>
      <c r="I801" s="7"/>
      <c r="J801" s="7"/>
      <c r="K801" s="7"/>
      <c r="L801" s="7"/>
      <c r="M801" s="7"/>
      <c r="N801" s="7"/>
      <c r="O801" s="7"/>
      <c r="P801" s="7"/>
      <c r="Q801" s="7"/>
      <c r="R801" s="7"/>
      <c r="S801" s="7"/>
      <c r="T801" s="7"/>
      <c r="U801" s="7"/>
      <c r="V801" s="7"/>
      <c r="W801" s="7"/>
      <c r="X801" s="7"/>
      <c r="Y801" s="7"/>
      <c r="Z801" s="7"/>
      <c r="AA801" s="7"/>
      <c r="AB801" s="7"/>
      <c r="AC801" s="7"/>
      <c r="AD801" s="7"/>
      <c r="AE801" s="132"/>
      <c r="AF801" s="132"/>
    </row>
    <row r="802" spans="2:32">
      <c r="B802" s="7"/>
      <c r="C802" s="7"/>
      <c r="D802" s="7"/>
      <c r="E802" s="7"/>
      <c r="F802" s="7"/>
      <c r="G802" s="7"/>
      <c r="H802" s="7"/>
      <c r="I802" s="7"/>
      <c r="J802" s="7"/>
      <c r="K802" s="7"/>
      <c r="L802" s="7"/>
      <c r="M802" s="7"/>
      <c r="N802" s="7"/>
      <c r="O802" s="7"/>
      <c r="P802" s="7"/>
      <c r="Q802" s="7"/>
      <c r="R802" s="7"/>
      <c r="S802" s="7"/>
      <c r="T802" s="7"/>
      <c r="U802" s="7"/>
      <c r="V802" s="7"/>
      <c r="W802" s="7"/>
      <c r="X802" s="7"/>
      <c r="Y802" s="7"/>
      <c r="Z802" s="7"/>
      <c r="AA802" s="7"/>
      <c r="AB802" s="7"/>
      <c r="AC802" s="7"/>
      <c r="AD802" s="7"/>
      <c r="AE802" s="132"/>
      <c r="AF802" s="132"/>
    </row>
    <row r="803" spans="2:32">
      <c r="B803" s="7"/>
      <c r="C803" s="7"/>
      <c r="D803" s="7"/>
      <c r="E803" s="7"/>
      <c r="F803" s="7"/>
      <c r="G803" s="7"/>
      <c r="H803" s="7"/>
      <c r="I803" s="7"/>
      <c r="J803" s="7"/>
      <c r="K803" s="7"/>
      <c r="L803" s="7"/>
      <c r="M803" s="7"/>
      <c r="N803" s="7"/>
      <c r="O803" s="7"/>
      <c r="P803" s="7"/>
      <c r="Q803" s="7"/>
      <c r="R803" s="7"/>
      <c r="S803" s="7"/>
      <c r="T803" s="7"/>
      <c r="U803" s="7"/>
      <c r="V803" s="7"/>
      <c r="W803" s="7"/>
      <c r="X803" s="7"/>
      <c r="Y803" s="7"/>
      <c r="Z803" s="7"/>
      <c r="AA803" s="7"/>
      <c r="AB803" s="7"/>
      <c r="AC803" s="7"/>
      <c r="AD803" s="7"/>
      <c r="AE803" s="132"/>
      <c r="AF803" s="132"/>
    </row>
    <row r="804" spans="2:32">
      <c r="B804" s="7"/>
      <c r="C804" s="7"/>
      <c r="D804" s="7"/>
      <c r="E804" s="7"/>
      <c r="F804" s="7"/>
      <c r="G804" s="7"/>
      <c r="H804" s="7"/>
      <c r="I804" s="7"/>
      <c r="J804" s="7"/>
      <c r="K804" s="7"/>
      <c r="L804" s="7"/>
      <c r="M804" s="7"/>
      <c r="N804" s="7"/>
      <c r="O804" s="7"/>
      <c r="P804" s="7"/>
      <c r="Q804" s="7"/>
      <c r="R804" s="7"/>
      <c r="S804" s="7"/>
      <c r="T804" s="7"/>
      <c r="U804" s="7"/>
      <c r="V804" s="7"/>
      <c r="W804" s="7"/>
      <c r="X804" s="7"/>
      <c r="Y804" s="7"/>
      <c r="Z804" s="7"/>
      <c r="AA804" s="7"/>
      <c r="AB804" s="7"/>
      <c r="AC804" s="7"/>
      <c r="AD804" s="7"/>
      <c r="AE804" s="132"/>
      <c r="AF804" s="132"/>
    </row>
    <row r="805" spans="2:32">
      <c r="B805" s="7"/>
      <c r="C805" s="7"/>
      <c r="D805" s="7"/>
      <c r="E805" s="7"/>
      <c r="F805" s="7"/>
      <c r="G805" s="7"/>
      <c r="H805" s="7"/>
      <c r="I805" s="7"/>
      <c r="J805" s="7"/>
      <c r="K805" s="7"/>
      <c r="L805" s="7"/>
      <c r="M805" s="7"/>
      <c r="N805" s="7"/>
      <c r="O805" s="7"/>
      <c r="P805" s="7"/>
      <c r="Q805" s="7"/>
      <c r="R805" s="7"/>
      <c r="S805" s="7"/>
      <c r="T805" s="7"/>
      <c r="U805" s="7"/>
      <c r="V805" s="7"/>
      <c r="W805" s="7"/>
      <c r="X805" s="7"/>
      <c r="Y805" s="7"/>
      <c r="Z805" s="7"/>
      <c r="AA805" s="7"/>
      <c r="AB805" s="7"/>
      <c r="AC805" s="7"/>
      <c r="AD805" s="7"/>
      <c r="AE805" s="132"/>
      <c r="AF805" s="132"/>
    </row>
    <row r="806" spans="2:32">
      <c r="B806" s="7"/>
      <c r="C806" s="7"/>
      <c r="D806" s="7"/>
      <c r="E806" s="7"/>
      <c r="F806" s="7"/>
      <c r="G806" s="7"/>
      <c r="H806" s="7"/>
      <c r="I806" s="7"/>
      <c r="J806" s="7"/>
      <c r="K806" s="7"/>
      <c r="L806" s="7"/>
      <c r="M806" s="7"/>
      <c r="N806" s="7"/>
      <c r="O806" s="7"/>
      <c r="P806" s="7"/>
      <c r="Q806" s="7"/>
      <c r="R806" s="7"/>
      <c r="S806" s="7"/>
      <c r="T806" s="7"/>
      <c r="U806" s="7"/>
      <c r="V806" s="7"/>
      <c r="W806" s="7"/>
      <c r="X806" s="7"/>
      <c r="Y806" s="7"/>
      <c r="Z806" s="7"/>
      <c r="AA806" s="7"/>
      <c r="AB806" s="7"/>
      <c r="AC806" s="7"/>
      <c r="AD806" s="7"/>
      <c r="AE806" s="132"/>
      <c r="AF806" s="132"/>
    </row>
    <row r="807" spans="2:32">
      <c r="B807" s="7"/>
      <c r="C807" s="7"/>
      <c r="D807" s="7"/>
      <c r="E807" s="7"/>
      <c r="F807" s="7"/>
      <c r="G807" s="7"/>
      <c r="H807" s="7"/>
      <c r="I807" s="7"/>
      <c r="J807" s="7"/>
      <c r="K807" s="7"/>
      <c r="L807" s="7"/>
      <c r="M807" s="7"/>
      <c r="N807" s="7"/>
      <c r="O807" s="7"/>
      <c r="P807" s="7"/>
      <c r="Q807" s="7"/>
      <c r="R807" s="7"/>
      <c r="S807" s="7"/>
      <c r="T807" s="7"/>
      <c r="U807" s="7"/>
      <c r="V807" s="7"/>
      <c r="W807" s="7"/>
      <c r="X807" s="7"/>
      <c r="Y807" s="7"/>
      <c r="Z807" s="7"/>
      <c r="AA807" s="7"/>
      <c r="AB807" s="7"/>
      <c r="AC807" s="7"/>
      <c r="AD807" s="7"/>
      <c r="AE807" s="132"/>
      <c r="AF807" s="132"/>
    </row>
    <row r="808" spans="2:32">
      <c r="B808" s="7"/>
      <c r="C808" s="7"/>
      <c r="D808" s="7"/>
      <c r="E808" s="7"/>
      <c r="F808" s="7"/>
      <c r="G808" s="7"/>
      <c r="H808" s="7"/>
      <c r="I808" s="7"/>
      <c r="J808" s="7"/>
      <c r="K808" s="7"/>
      <c r="L808" s="7"/>
      <c r="M808" s="7"/>
      <c r="N808" s="7"/>
      <c r="O808" s="7"/>
      <c r="P808" s="7"/>
      <c r="Q808" s="7"/>
      <c r="R808" s="7"/>
      <c r="S808" s="7"/>
      <c r="T808" s="7"/>
      <c r="U808" s="7"/>
      <c r="V808" s="7"/>
      <c r="W808" s="7"/>
      <c r="X808" s="7"/>
      <c r="Y808" s="7"/>
      <c r="Z808" s="7"/>
      <c r="AA808" s="7"/>
      <c r="AB808" s="7"/>
      <c r="AC808" s="7"/>
      <c r="AD808" s="7"/>
      <c r="AE808" s="132"/>
      <c r="AF808" s="132"/>
    </row>
    <row r="809" spans="2:32">
      <c r="B809" s="7"/>
      <c r="C809" s="7"/>
      <c r="D809" s="7"/>
      <c r="E809" s="7"/>
      <c r="F809" s="7"/>
      <c r="G809" s="7"/>
      <c r="H809" s="7"/>
      <c r="I809" s="7"/>
      <c r="J809" s="7"/>
      <c r="K809" s="7"/>
      <c r="L809" s="7"/>
      <c r="M809" s="7"/>
      <c r="N809" s="7"/>
      <c r="O809" s="7"/>
      <c r="P809" s="7"/>
      <c r="Q809" s="7"/>
      <c r="R809" s="7"/>
      <c r="S809" s="7"/>
      <c r="T809" s="7"/>
      <c r="U809" s="7"/>
      <c r="V809" s="7"/>
      <c r="W809" s="7"/>
      <c r="X809" s="7"/>
      <c r="Y809" s="7"/>
      <c r="Z809" s="7"/>
      <c r="AA809" s="7"/>
      <c r="AB809" s="7"/>
      <c r="AC809" s="7"/>
      <c r="AD809" s="7"/>
      <c r="AE809" s="132"/>
      <c r="AF809" s="132"/>
    </row>
    <row r="810" spans="2:32">
      <c r="B810" s="7"/>
      <c r="C810" s="7"/>
      <c r="D810" s="7"/>
      <c r="E810" s="7"/>
      <c r="F810" s="7"/>
      <c r="G810" s="7"/>
      <c r="H810" s="7"/>
      <c r="I810" s="7"/>
      <c r="J810" s="7"/>
      <c r="K810" s="7"/>
      <c r="L810" s="7"/>
      <c r="M810" s="7"/>
      <c r="N810" s="7"/>
      <c r="O810" s="7"/>
      <c r="P810" s="7"/>
      <c r="Q810" s="7"/>
      <c r="R810" s="7"/>
      <c r="S810" s="7"/>
      <c r="T810" s="7"/>
      <c r="U810" s="7"/>
      <c r="V810" s="7"/>
      <c r="W810" s="7"/>
      <c r="X810" s="7"/>
      <c r="Y810" s="7"/>
      <c r="Z810" s="7"/>
      <c r="AA810" s="7"/>
      <c r="AB810" s="7"/>
      <c r="AC810" s="7"/>
      <c r="AD810" s="7"/>
      <c r="AE810" s="132"/>
      <c r="AF810" s="132"/>
    </row>
    <row r="811" spans="2:32">
      <c r="B811" s="7"/>
      <c r="C811" s="7"/>
      <c r="D811" s="7"/>
      <c r="E811" s="7"/>
      <c r="F811" s="7"/>
      <c r="G811" s="7"/>
      <c r="H811" s="7"/>
      <c r="I811" s="7"/>
      <c r="J811" s="7"/>
      <c r="K811" s="7"/>
      <c r="L811" s="7"/>
      <c r="M811" s="7"/>
      <c r="N811" s="7"/>
      <c r="O811" s="7"/>
      <c r="P811" s="7"/>
      <c r="Q811" s="7"/>
      <c r="R811" s="7"/>
      <c r="S811" s="7"/>
      <c r="T811" s="7"/>
      <c r="U811" s="7"/>
      <c r="V811" s="7"/>
      <c r="W811" s="7"/>
      <c r="X811" s="7"/>
      <c r="Y811" s="7"/>
      <c r="Z811" s="7"/>
      <c r="AA811" s="7"/>
      <c r="AB811" s="7"/>
      <c r="AC811" s="7"/>
      <c r="AD811" s="7"/>
      <c r="AE811" s="132"/>
      <c r="AF811" s="132"/>
    </row>
    <row r="812" spans="2:32">
      <c r="B812" s="7"/>
      <c r="C812" s="7"/>
      <c r="D812" s="7"/>
      <c r="E812" s="7"/>
      <c r="F812" s="7"/>
      <c r="G812" s="7"/>
      <c r="H812" s="7"/>
      <c r="I812" s="7"/>
      <c r="J812" s="7"/>
      <c r="K812" s="7"/>
      <c r="L812" s="7"/>
      <c r="M812" s="7"/>
      <c r="N812" s="7"/>
      <c r="O812" s="7"/>
      <c r="P812" s="7"/>
      <c r="Q812" s="7"/>
      <c r="R812" s="7"/>
      <c r="S812" s="7"/>
      <c r="T812" s="7"/>
      <c r="U812" s="7"/>
      <c r="V812" s="7"/>
      <c r="W812" s="7"/>
      <c r="X812" s="7"/>
      <c r="Y812" s="7"/>
      <c r="Z812" s="7"/>
      <c r="AA812" s="7"/>
      <c r="AB812" s="7"/>
      <c r="AC812" s="7"/>
      <c r="AD812" s="7"/>
      <c r="AE812" s="132"/>
      <c r="AF812" s="132"/>
    </row>
    <row r="813" spans="2:32">
      <c r="B813" s="7"/>
      <c r="C813" s="7"/>
      <c r="D813" s="7"/>
      <c r="E813" s="7"/>
      <c r="F813" s="7"/>
      <c r="G813" s="7"/>
      <c r="H813" s="7"/>
      <c r="I813" s="7"/>
      <c r="J813" s="7"/>
      <c r="K813" s="7"/>
      <c r="L813" s="7"/>
      <c r="M813" s="7"/>
      <c r="N813" s="7"/>
      <c r="O813" s="7"/>
      <c r="P813" s="7"/>
      <c r="Q813" s="7"/>
      <c r="R813" s="7"/>
      <c r="S813" s="7"/>
      <c r="T813" s="7"/>
      <c r="U813" s="7"/>
      <c r="V813" s="7"/>
      <c r="W813" s="7"/>
      <c r="X813" s="7"/>
      <c r="Y813" s="7"/>
      <c r="Z813" s="7"/>
      <c r="AA813" s="7"/>
      <c r="AB813" s="7"/>
      <c r="AC813" s="7"/>
      <c r="AD813" s="7"/>
      <c r="AE813" s="132"/>
      <c r="AF813" s="132"/>
    </row>
    <row r="814" spans="2:32">
      <c r="B814" s="7"/>
      <c r="C814" s="7"/>
      <c r="D814" s="7"/>
      <c r="E814" s="7"/>
      <c r="F814" s="7"/>
      <c r="G814" s="7"/>
      <c r="H814" s="7"/>
      <c r="I814" s="7"/>
      <c r="J814" s="7"/>
      <c r="K814" s="7"/>
      <c r="L814" s="7"/>
      <c r="M814" s="7"/>
      <c r="N814" s="7"/>
      <c r="O814" s="7"/>
      <c r="P814" s="7"/>
      <c r="Q814" s="7"/>
      <c r="R814" s="7"/>
      <c r="S814" s="7"/>
      <c r="T814" s="7"/>
      <c r="U814" s="7"/>
      <c r="V814" s="7"/>
      <c r="W814" s="7"/>
      <c r="X814" s="7"/>
      <c r="Y814" s="7"/>
      <c r="Z814" s="7"/>
      <c r="AA814" s="7"/>
      <c r="AB814" s="7"/>
      <c r="AC814" s="7"/>
      <c r="AD814" s="7"/>
      <c r="AE814" s="132"/>
      <c r="AF814" s="132"/>
    </row>
    <row r="815" spans="2:32">
      <c r="B815" s="7"/>
      <c r="C815" s="7"/>
      <c r="D815" s="7"/>
      <c r="E815" s="7"/>
      <c r="F815" s="7"/>
      <c r="G815" s="7"/>
      <c r="H815" s="7"/>
      <c r="I815" s="7"/>
      <c r="J815" s="7"/>
      <c r="K815" s="7"/>
      <c r="L815" s="7"/>
      <c r="M815" s="7"/>
      <c r="N815" s="7"/>
      <c r="O815" s="7"/>
      <c r="P815" s="7"/>
      <c r="Q815" s="7"/>
      <c r="R815" s="7"/>
      <c r="S815" s="7"/>
      <c r="T815" s="7"/>
      <c r="U815" s="7"/>
      <c r="V815" s="7"/>
      <c r="W815" s="7"/>
      <c r="X815" s="7"/>
      <c r="Y815" s="7"/>
      <c r="Z815" s="7"/>
      <c r="AA815" s="7"/>
      <c r="AB815" s="7"/>
      <c r="AC815" s="7"/>
      <c r="AD815" s="7"/>
      <c r="AE815" s="132"/>
      <c r="AF815" s="132"/>
    </row>
    <row r="816" spans="2:32">
      <c r="B816" s="7"/>
      <c r="C816" s="7"/>
      <c r="D816" s="7"/>
      <c r="E816" s="7"/>
      <c r="F816" s="7"/>
      <c r="G816" s="7"/>
      <c r="H816" s="7"/>
      <c r="I816" s="7"/>
      <c r="J816" s="7"/>
      <c r="K816" s="7"/>
      <c r="L816" s="7"/>
      <c r="M816" s="7"/>
      <c r="N816" s="7"/>
      <c r="O816" s="7"/>
      <c r="P816" s="7"/>
      <c r="Q816" s="7"/>
      <c r="R816" s="7"/>
      <c r="S816" s="7"/>
      <c r="T816" s="7"/>
      <c r="U816" s="7"/>
      <c r="V816" s="7"/>
      <c r="W816" s="7"/>
      <c r="X816" s="7"/>
      <c r="Y816" s="7"/>
      <c r="Z816" s="7"/>
      <c r="AA816" s="7"/>
      <c r="AB816" s="7"/>
      <c r="AC816" s="7"/>
      <c r="AD816" s="7"/>
      <c r="AE816" s="132"/>
      <c r="AF816" s="132"/>
    </row>
    <row r="817" spans="2:32">
      <c r="B817" s="7"/>
      <c r="C817" s="7"/>
      <c r="D817" s="7"/>
      <c r="E817" s="7"/>
      <c r="F817" s="7"/>
      <c r="G817" s="7"/>
      <c r="H817" s="7"/>
      <c r="I817" s="7"/>
      <c r="J817" s="7"/>
      <c r="K817" s="7"/>
      <c r="L817" s="7"/>
      <c r="M817" s="7"/>
      <c r="N817" s="7"/>
      <c r="O817" s="7"/>
      <c r="P817" s="7"/>
      <c r="Q817" s="7"/>
      <c r="R817" s="7"/>
      <c r="S817" s="7"/>
      <c r="T817" s="7"/>
      <c r="U817" s="7"/>
      <c r="V817" s="7"/>
      <c r="W817" s="7"/>
      <c r="X817" s="7"/>
      <c r="Y817" s="7"/>
      <c r="Z817" s="7"/>
      <c r="AA817" s="7"/>
      <c r="AB817" s="7"/>
      <c r="AC817" s="7"/>
      <c r="AD817" s="7"/>
      <c r="AE817" s="132"/>
      <c r="AF817" s="132"/>
    </row>
    <row r="818" spans="2:32">
      <c r="B818" s="7"/>
      <c r="C818" s="7"/>
      <c r="D818" s="7"/>
      <c r="E818" s="7"/>
      <c r="F818" s="7"/>
      <c r="G818" s="7"/>
      <c r="H818" s="7"/>
      <c r="I818" s="7"/>
      <c r="J818" s="7"/>
      <c r="K818" s="7"/>
      <c r="L818" s="7"/>
      <c r="M818" s="7"/>
      <c r="N818" s="7"/>
      <c r="O818" s="7"/>
      <c r="P818" s="7"/>
      <c r="Q818" s="7"/>
      <c r="R818" s="7"/>
      <c r="S818" s="7"/>
      <c r="T818" s="7"/>
      <c r="U818" s="7"/>
      <c r="V818" s="7"/>
      <c r="W818" s="7"/>
      <c r="X818" s="7"/>
      <c r="Y818" s="7"/>
      <c r="Z818" s="7"/>
      <c r="AA818" s="7"/>
      <c r="AB818" s="7"/>
      <c r="AC818" s="7"/>
      <c r="AD818" s="7"/>
      <c r="AE818" s="132"/>
      <c r="AF818" s="132"/>
    </row>
    <row r="819" spans="2:32">
      <c r="B819" s="7"/>
      <c r="C819" s="7"/>
      <c r="D819" s="7"/>
      <c r="E819" s="7"/>
      <c r="F819" s="7"/>
      <c r="G819" s="7"/>
      <c r="H819" s="7"/>
      <c r="I819" s="7"/>
      <c r="J819" s="7"/>
      <c r="K819" s="7"/>
      <c r="L819" s="7"/>
      <c r="M819" s="7"/>
      <c r="N819" s="7"/>
      <c r="O819" s="7"/>
      <c r="P819" s="7"/>
      <c r="Q819" s="7"/>
      <c r="R819" s="7"/>
      <c r="S819" s="7"/>
      <c r="T819" s="7"/>
      <c r="U819" s="7"/>
      <c r="V819" s="7"/>
      <c r="W819" s="7"/>
      <c r="X819" s="7"/>
      <c r="Y819" s="7"/>
      <c r="Z819" s="7"/>
      <c r="AA819" s="7"/>
      <c r="AB819" s="7"/>
      <c r="AC819" s="7"/>
      <c r="AD819" s="7"/>
      <c r="AE819" s="132"/>
      <c r="AF819" s="132"/>
    </row>
    <row r="820" spans="2:32">
      <c r="B820" s="7"/>
      <c r="C820" s="7"/>
      <c r="D820" s="7"/>
      <c r="E820" s="7"/>
      <c r="F820" s="7"/>
      <c r="G820" s="7"/>
      <c r="H820" s="7"/>
      <c r="I820" s="7"/>
      <c r="J820" s="7"/>
      <c r="K820" s="7"/>
      <c r="L820" s="7"/>
      <c r="M820" s="7"/>
      <c r="N820" s="7"/>
      <c r="O820" s="7"/>
      <c r="P820" s="7"/>
      <c r="Q820" s="7"/>
      <c r="R820" s="7"/>
      <c r="S820" s="7"/>
      <c r="T820" s="7"/>
      <c r="U820" s="7"/>
      <c r="V820" s="7"/>
      <c r="W820" s="7"/>
      <c r="X820" s="7"/>
      <c r="Y820" s="7"/>
      <c r="Z820" s="7"/>
      <c r="AA820" s="7"/>
      <c r="AB820" s="7"/>
      <c r="AC820" s="7"/>
      <c r="AD820" s="7"/>
      <c r="AE820" s="132"/>
      <c r="AF820" s="132"/>
    </row>
    <row r="821" spans="2:32">
      <c r="B821" s="7"/>
      <c r="C821" s="7"/>
      <c r="D821" s="7"/>
      <c r="E821" s="7"/>
      <c r="F821" s="7"/>
      <c r="G821" s="7"/>
      <c r="H821" s="7"/>
      <c r="I821" s="7"/>
      <c r="J821" s="7"/>
      <c r="K821" s="7"/>
      <c r="L821" s="7"/>
      <c r="M821" s="7"/>
      <c r="N821" s="7"/>
      <c r="O821" s="7"/>
      <c r="P821" s="7"/>
      <c r="Q821" s="7"/>
      <c r="R821" s="7"/>
      <c r="S821" s="7"/>
      <c r="T821" s="7"/>
      <c r="U821" s="7"/>
      <c r="V821" s="7"/>
      <c r="W821" s="7"/>
      <c r="X821" s="7"/>
      <c r="Y821" s="7"/>
      <c r="Z821" s="7"/>
      <c r="AA821" s="7"/>
      <c r="AB821" s="7"/>
      <c r="AC821" s="7"/>
      <c r="AD821" s="7"/>
      <c r="AE821" s="132"/>
      <c r="AF821" s="132"/>
    </row>
    <row r="822" spans="2:32">
      <c r="B822" s="7"/>
      <c r="C822" s="7"/>
      <c r="D822" s="7"/>
      <c r="E822" s="7"/>
      <c r="F822" s="7"/>
      <c r="G822" s="7"/>
      <c r="H822" s="7"/>
      <c r="I822" s="7"/>
      <c r="J822" s="7"/>
      <c r="K822" s="7"/>
      <c r="L822" s="7"/>
      <c r="M822" s="7"/>
      <c r="N822" s="7"/>
      <c r="O822" s="7"/>
      <c r="P822" s="7"/>
      <c r="Q822" s="7"/>
      <c r="R822" s="7"/>
      <c r="S822" s="7"/>
      <c r="T822" s="7"/>
      <c r="U822" s="7"/>
      <c r="V822" s="7"/>
      <c r="W822" s="7"/>
      <c r="X822" s="7"/>
      <c r="Y822" s="7"/>
      <c r="Z822" s="7"/>
      <c r="AA822" s="7"/>
      <c r="AB822" s="7"/>
      <c r="AC822" s="7"/>
      <c r="AD822" s="7"/>
      <c r="AE822" s="132"/>
      <c r="AF822" s="132"/>
    </row>
    <row r="823" spans="2:32">
      <c r="B823" s="7"/>
      <c r="C823" s="7"/>
      <c r="D823" s="7"/>
      <c r="E823" s="7"/>
      <c r="F823" s="7"/>
      <c r="G823" s="7"/>
      <c r="H823" s="7"/>
      <c r="I823" s="7"/>
      <c r="J823" s="7"/>
      <c r="K823" s="7"/>
      <c r="L823" s="7"/>
      <c r="M823" s="7"/>
      <c r="N823" s="7"/>
      <c r="O823" s="7"/>
      <c r="P823" s="7"/>
      <c r="Q823" s="7"/>
      <c r="R823" s="7"/>
      <c r="S823" s="7"/>
      <c r="T823" s="7"/>
      <c r="U823" s="7"/>
      <c r="V823" s="7"/>
      <c r="W823" s="7"/>
      <c r="X823" s="7"/>
      <c r="Y823" s="7"/>
      <c r="Z823" s="7"/>
      <c r="AA823" s="7"/>
      <c r="AB823" s="7"/>
      <c r="AC823" s="7"/>
      <c r="AD823" s="7"/>
      <c r="AE823" s="132"/>
      <c r="AF823" s="132"/>
    </row>
    <row r="824" spans="2:32">
      <c r="B824" s="7"/>
      <c r="C824" s="7"/>
      <c r="D824" s="7"/>
      <c r="E824" s="7"/>
      <c r="F824" s="7"/>
      <c r="G824" s="7"/>
      <c r="H824" s="7"/>
      <c r="I824" s="7"/>
      <c r="J824" s="7"/>
      <c r="K824" s="7"/>
      <c r="L824" s="7"/>
      <c r="M824" s="7"/>
      <c r="N824" s="7"/>
      <c r="O824" s="7"/>
      <c r="P824" s="7"/>
      <c r="Q824" s="7"/>
      <c r="R824" s="7"/>
      <c r="S824" s="7"/>
      <c r="T824" s="7"/>
      <c r="U824" s="7"/>
      <c r="V824" s="7"/>
      <c r="W824" s="7"/>
      <c r="X824" s="7"/>
      <c r="Y824" s="7"/>
      <c r="Z824" s="7"/>
      <c r="AA824" s="7"/>
      <c r="AB824" s="7"/>
      <c r="AC824" s="7"/>
      <c r="AD824" s="7"/>
      <c r="AE824" s="132"/>
      <c r="AF824" s="132"/>
    </row>
    <row r="825" spans="2:32">
      <c r="B825" s="7"/>
      <c r="C825" s="7"/>
      <c r="D825" s="7"/>
      <c r="E825" s="7"/>
      <c r="F825" s="7"/>
      <c r="G825" s="7"/>
      <c r="H825" s="7"/>
      <c r="I825" s="7"/>
      <c r="J825" s="7"/>
      <c r="K825" s="7"/>
      <c r="L825" s="7"/>
      <c r="M825" s="7"/>
      <c r="N825" s="7"/>
      <c r="O825" s="7"/>
      <c r="P825" s="7"/>
      <c r="Q825" s="7"/>
      <c r="R825" s="7"/>
      <c r="S825" s="7"/>
      <c r="T825" s="7"/>
      <c r="U825" s="7"/>
      <c r="V825" s="7"/>
      <c r="W825" s="7"/>
      <c r="X825" s="7"/>
      <c r="Y825" s="7"/>
      <c r="Z825" s="7"/>
      <c r="AA825" s="7"/>
      <c r="AB825" s="7"/>
      <c r="AC825" s="7"/>
      <c r="AD825" s="7"/>
      <c r="AE825" s="132"/>
      <c r="AF825" s="132"/>
    </row>
    <row r="826" spans="2:32">
      <c r="B826" s="7"/>
      <c r="C826" s="7"/>
      <c r="D826" s="7"/>
      <c r="E826" s="7"/>
      <c r="F826" s="7"/>
      <c r="G826" s="7"/>
      <c r="H826" s="7"/>
      <c r="I826" s="7"/>
      <c r="J826" s="7"/>
      <c r="K826" s="7"/>
      <c r="L826" s="7"/>
      <c r="M826" s="7"/>
      <c r="N826" s="7"/>
      <c r="O826" s="7"/>
      <c r="P826" s="7"/>
      <c r="Q826" s="7"/>
      <c r="R826" s="7"/>
      <c r="S826" s="7"/>
      <c r="T826" s="7"/>
      <c r="U826" s="7"/>
      <c r="V826" s="7"/>
      <c r="W826" s="7"/>
      <c r="X826" s="7"/>
      <c r="Y826" s="7"/>
      <c r="Z826" s="7"/>
      <c r="AA826" s="7"/>
      <c r="AB826" s="7"/>
      <c r="AC826" s="7"/>
      <c r="AD826" s="7"/>
      <c r="AE826" s="132"/>
      <c r="AF826" s="132"/>
    </row>
    <row r="827" spans="2:32">
      <c r="B827" s="7"/>
      <c r="C827" s="7"/>
      <c r="D827" s="7"/>
      <c r="E827" s="7"/>
      <c r="F827" s="7"/>
      <c r="G827" s="7"/>
      <c r="H827" s="7"/>
      <c r="I827" s="7"/>
      <c r="J827" s="7"/>
      <c r="K827" s="7"/>
      <c r="L827" s="7"/>
      <c r="M827" s="7"/>
      <c r="N827" s="7"/>
      <c r="O827" s="7"/>
      <c r="P827" s="7"/>
      <c r="Q827" s="7"/>
      <c r="R827" s="7"/>
      <c r="S827" s="7"/>
      <c r="T827" s="7"/>
      <c r="U827" s="7"/>
      <c r="V827" s="7"/>
      <c r="W827" s="7"/>
      <c r="X827" s="7"/>
      <c r="Y827" s="7"/>
      <c r="Z827" s="7"/>
      <c r="AA827" s="7"/>
      <c r="AB827" s="7"/>
      <c r="AC827" s="7"/>
      <c r="AD827" s="7"/>
      <c r="AE827" s="132"/>
      <c r="AF827" s="132"/>
    </row>
    <row r="828" spans="2:32">
      <c r="B828" s="7"/>
      <c r="C828" s="7"/>
      <c r="D828" s="7"/>
      <c r="E828" s="7"/>
      <c r="F828" s="7"/>
      <c r="G828" s="7"/>
      <c r="H828" s="7"/>
      <c r="I828" s="7"/>
      <c r="J828" s="7"/>
      <c r="K828" s="7"/>
      <c r="L828" s="7"/>
      <c r="M828" s="7"/>
      <c r="N828" s="7"/>
      <c r="O828" s="7"/>
      <c r="P828" s="7"/>
      <c r="Q828" s="7"/>
      <c r="R828" s="7"/>
      <c r="S828" s="7"/>
      <c r="T828" s="7"/>
      <c r="U828" s="7"/>
      <c r="V828" s="7"/>
      <c r="W828" s="7"/>
      <c r="X828" s="7"/>
      <c r="Y828" s="7"/>
      <c r="Z828" s="7"/>
      <c r="AA828" s="7"/>
      <c r="AB828" s="7"/>
      <c r="AC828" s="7"/>
      <c r="AD828" s="7"/>
      <c r="AE828" s="132"/>
      <c r="AF828" s="132"/>
    </row>
    <row r="829" spans="2:32">
      <c r="B829" s="7"/>
      <c r="C829" s="7"/>
      <c r="D829" s="7"/>
      <c r="E829" s="7"/>
      <c r="F829" s="7"/>
      <c r="G829" s="7"/>
      <c r="H829" s="7"/>
      <c r="I829" s="7"/>
      <c r="J829" s="7"/>
      <c r="K829" s="7"/>
      <c r="L829" s="7"/>
      <c r="M829" s="7"/>
      <c r="N829" s="7"/>
      <c r="O829" s="7"/>
      <c r="P829" s="7"/>
      <c r="Q829" s="7"/>
      <c r="R829" s="7"/>
      <c r="S829" s="7"/>
      <c r="T829" s="7"/>
      <c r="U829" s="7"/>
      <c r="V829" s="7"/>
      <c r="W829" s="7"/>
      <c r="X829" s="7"/>
      <c r="Y829" s="7"/>
      <c r="Z829" s="7"/>
      <c r="AA829" s="7"/>
      <c r="AB829" s="7"/>
      <c r="AC829" s="7"/>
      <c r="AD829" s="7"/>
      <c r="AE829" s="132"/>
      <c r="AF829" s="132"/>
    </row>
    <row r="830" spans="2:32">
      <c r="B830" s="7"/>
      <c r="C830" s="7"/>
      <c r="D830" s="7"/>
      <c r="E830" s="7"/>
      <c r="F830" s="7"/>
      <c r="G830" s="7"/>
      <c r="H830" s="7"/>
      <c r="I830" s="7"/>
      <c r="J830" s="7"/>
      <c r="K830" s="7"/>
      <c r="L830" s="7"/>
      <c r="M830" s="7"/>
      <c r="N830" s="7"/>
      <c r="O830" s="7"/>
      <c r="P830" s="7"/>
      <c r="Q830" s="7"/>
      <c r="R830" s="7"/>
      <c r="S830" s="7"/>
      <c r="T830" s="7"/>
      <c r="U830" s="7"/>
      <c r="V830" s="7"/>
      <c r="W830" s="7"/>
      <c r="X830" s="7"/>
      <c r="Y830" s="7"/>
      <c r="Z830" s="7"/>
      <c r="AA830" s="7"/>
      <c r="AB830" s="7"/>
      <c r="AC830" s="7"/>
      <c r="AD830" s="7"/>
      <c r="AE830" s="132"/>
      <c r="AF830" s="132"/>
    </row>
    <row r="831" spans="2:32">
      <c r="B831" s="7"/>
      <c r="C831" s="7"/>
      <c r="D831" s="7"/>
      <c r="E831" s="7"/>
      <c r="F831" s="7"/>
      <c r="G831" s="7"/>
      <c r="H831" s="7"/>
      <c r="I831" s="7"/>
      <c r="J831" s="7"/>
      <c r="K831" s="7"/>
      <c r="L831" s="7"/>
      <c r="M831" s="7"/>
      <c r="N831" s="7"/>
      <c r="O831" s="7"/>
      <c r="P831" s="7"/>
      <c r="Q831" s="7"/>
      <c r="R831" s="7"/>
      <c r="S831" s="7"/>
      <c r="T831" s="7"/>
      <c r="U831" s="7"/>
      <c r="V831" s="7"/>
      <c r="W831" s="7"/>
      <c r="X831" s="7"/>
      <c r="Y831" s="7"/>
      <c r="Z831" s="7"/>
      <c r="AA831" s="7"/>
      <c r="AB831" s="7"/>
      <c r="AC831" s="7"/>
      <c r="AD831" s="7"/>
      <c r="AE831" s="132"/>
      <c r="AF831" s="132"/>
    </row>
    <row r="832" spans="2:32">
      <c r="B832" s="7"/>
      <c r="C832" s="7"/>
      <c r="D832" s="7"/>
      <c r="E832" s="7"/>
      <c r="F832" s="7"/>
      <c r="G832" s="7"/>
      <c r="H832" s="7"/>
      <c r="I832" s="7"/>
      <c r="J832" s="7"/>
      <c r="K832" s="7"/>
      <c r="L832" s="7"/>
      <c r="M832" s="7"/>
      <c r="N832" s="7"/>
      <c r="O832" s="7"/>
      <c r="P832" s="7"/>
      <c r="Q832" s="7"/>
      <c r="R832" s="7"/>
      <c r="S832" s="7"/>
      <c r="T832" s="7"/>
      <c r="U832" s="7"/>
      <c r="V832" s="7"/>
      <c r="W832" s="7"/>
      <c r="X832" s="7"/>
      <c r="Y832" s="7"/>
      <c r="Z832" s="7"/>
      <c r="AA832" s="7"/>
      <c r="AB832" s="7"/>
      <c r="AC832" s="7"/>
      <c r="AD832" s="7"/>
      <c r="AE832" s="132"/>
      <c r="AF832" s="132"/>
    </row>
    <row r="833" spans="2:32">
      <c r="B833" s="7"/>
      <c r="C833" s="7"/>
      <c r="D833" s="7"/>
      <c r="E833" s="7"/>
      <c r="F833" s="7"/>
      <c r="G833" s="7"/>
      <c r="H833" s="7"/>
      <c r="I833" s="7"/>
      <c r="J833" s="7"/>
      <c r="K833" s="7"/>
      <c r="L833" s="7"/>
      <c r="M833" s="7"/>
      <c r="N833" s="7"/>
      <c r="O833" s="7"/>
      <c r="P833" s="7"/>
      <c r="Q833" s="7"/>
      <c r="R833" s="7"/>
      <c r="S833" s="7"/>
      <c r="T833" s="7"/>
      <c r="U833" s="7"/>
      <c r="V833" s="7"/>
      <c r="W833" s="7"/>
      <c r="X833" s="7"/>
      <c r="Y833" s="7"/>
      <c r="Z833" s="7"/>
      <c r="AA833" s="7"/>
      <c r="AB833" s="7"/>
      <c r="AC833" s="7"/>
      <c r="AD833" s="7"/>
      <c r="AE833" s="132"/>
      <c r="AF833" s="132"/>
    </row>
    <row r="834" spans="2:32">
      <c r="B834" s="7"/>
      <c r="C834" s="7"/>
      <c r="D834" s="7"/>
      <c r="E834" s="7"/>
      <c r="F834" s="7"/>
      <c r="G834" s="7"/>
      <c r="H834" s="7"/>
      <c r="I834" s="7"/>
      <c r="J834" s="7"/>
      <c r="K834" s="7"/>
      <c r="L834" s="7"/>
      <c r="M834" s="7"/>
      <c r="N834" s="7"/>
      <c r="O834" s="7"/>
      <c r="P834" s="7"/>
      <c r="Q834" s="7"/>
      <c r="R834" s="7"/>
      <c r="S834" s="7"/>
      <c r="T834" s="7"/>
      <c r="U834" s="7"/>
      <c r="V834" s="7"/>
      <c r="W834" s="7"/>
      <c r="X834" s="7"/>
      <c r="Y834" s="7"/>
      <c r="Z834" s="7"/>
      <c r="AA834" s="7"/>
      <c r="AB834" s="7"/>
      <c r="AC834" s="7"/>
      <c r="AD834" s="7"/>
      <c r="AE834" s="132"/>
      <c r="AF834" s="132"/>
    </row>
    <row r="835" spans="2:32">
      <c r="B835" s="7"/>
      <c r="C835" s="7"/>
      <c r="D835" s="7"/>
      <c r="E835" s="7"/>
      <c r="F835" s="7"/>
      <c r="G835" s="7"/>
      <c r="H835" s="7"/>
      <c r="I835" s="7"/>
      <c r="J835" s="7"/>
      <c r="K835" s="7"/>
      <c r="L835" s="7"/>
      <c r="M835" s="7"/>
      <c r="N835" s="7"/>
      <c r="O835" s="7"/>
      <c r="P835" s="7"/>
      <c r="Q835" s="7"/>
      <c r="R835" s="7"/>
      <c r="S835" s="7"/>
      <c r="T835" s="7"/>
      <c r="U835" s="7"/>
      <c r="V835" s="7"/>
      <c r="W835" s="7"/>
      <c r="X835" s="7"/>
      <c r="Y835" s="7"/>
      <c r="Z835" s="7"/>
      <c r="AA835" s="7"/>
      <c r="AB835" s="7"/>
      <c r="AC835" s="7"/>
      <c r="AD835" s="7"/>
      <c r="AE835" s="132"/>
      <c r="AF835" s="132"/>
    </row>
    <row r="836" spans="2:32">
      <c r="B836" s="7"/>
      <c r="C836" s="7"/>
      <c r="D836" s="7"/>
      <c r="E836" s="7"/>
      <c r="F836" s="7"/>
      <c r="G836" s="7"/>
      <c r="H836" s="7"/>
      <c r="I836" s="7"/>
      <c r="J836" s="7"/>
      <c r="K836" s="7"/>
      <c r="L836" s="7"/>
      <c r="M836" s="7"/>
      <c r="N836" s="7"/>
      <c r="O836" s="7"/>
      <c r="P836" s="7"/>
      <c r="Q836" s="7"/>
      <c r="R836" s="7"/>
      <c r="S836" s="7"/>
      <c r="T836" s="7"/>
      <c r="U836" s="7"/>
      <c r="V836" s="7"/>
      <c r="W836" s="7"/>
      <c r="X836" s="7"/>
      <c r="Y836" s="7"/>
      <c r="Z836" s="7"/>
      <c r="AA836" s="7"/>
      <c r="AB836" s="7"/>
      <c r="AC836" s="7"/>
      <c r="AD836" s="7"/>
      <c r="AE836" s="132"/>
      <c r="AF836" s="132"/>
    </row>
    <row r="837" spans="2:32">
      <c r="B837" s="7"/>
      <c r="C837" s="7"/>
      <c r="D837" s="7"/>
      <c r="E837" s="7"/>
      <c r="F837" s="7"/>
      <c r="G837" s="7"/>
      <c r="H837" s="7"/>
      <c r="I837" s="7"/>
      <c r="J837" s="7"/>
      <c r="K837" s="7"/>
      <c r="L837" s="7"/>
      <c r="M837" s="7"/>
      <c r="N837" s="7"/>
      <c r="O837" s="7"/>
      <c r="P837" s="7"/>
      <c r="Q837" s="7"/>
      <c r="R837" s="7"/>
      <c r="S837" s="7"/>
      <c r="T837" s="7"/>
      <c r="U837" s="7"/>
      <c r="V837" s="7"/>
      <c r="W837" s="7"/>
      <c r="X837" s="7"/>
      <c r="Y837" s="7"/>
      <c r="Z837" s="7"/>
      <c r="AA837" s="7"/>
      <c r="AB837" s="7"/>
      <c r="AC837" s="7"/>
      <c r="AD837" s="7"/>
      <c r="AE837" s="132"/>
      <c r="AF837" s="132"/>
    </row>
    <row r="838" spans="2:32">
      <c r="B838" s="7"/>
      <c r="C838" s="7"/>
      <c r="D838" s="7"/>
      <c r="E838" s="7"/>
      <c r="F838" s="7"/>
      <c r="G838" s="7"/>
      <c r="H838" s="7"/>
      <c r="I838" s="7"/>
      <c r="J838" s="7"/>
      <c r="K838" s="7"/>
      <c r="L838" s="7"/>
      <c r="M838" s="7"/>
      <c r="N838" s="7"/>
      <c r="O838" s="7"/>
      <c r="P838" s="7"/>
      <c r="Q838" s="7"/>
      <c r="R838" s="7"/>
      <c r="S838" s="7"/>
      <c r="T838" s="7"/>
      <c r="U838" s="7"/>
      <c r="V838" s="7"/>
      <c r="W838" s="7"/>
      <c r="X838" s="7"/>
      <c r="Y838" s="7"/>
      <c r="Z838" s="7"/>
      <c r="AA838" s="7"/>
      <c r="AB838" s="7"/>
      <c r="AC838" s="7"/>
      <c r="AD838" s="7"/>
      <c r="AE838" s="132"/>
      <c r="AF838" s="132"/>
    </row>
    <row r="839" spans="2:32">
      <c r="B839" s="7"/>
      <c r="C839" s="7"/>
      <c r="D839" s="7"/>
      <c r="E839" s="7"/>
      <c r="F839" s="7"/>
      <c r="G839" s="7"/>
      <c r="H839" s="7"/>
      <c r="I839" s="7"/>
      <c r="J839" s="7"/>
      <c r="K839" s="7"/>
      <c r="L839" s="7"/>
      <c r="M839" s="7"/>
      <c r="N839" s="7"/>
      <c r="O839" s="7"/>
      <c r="P839" s="7"/>
      <c r="Q839" s="7"/>
      <c r="R839" s="7"/>
      <c r="S839" s="7"/>
      <c r="T839" s="7"/>
      <c r="U839" s="7"/>
      <c r="V839" s="7"/>
      <c r="W839" s="7"/>
      <c r="X839" s="7"/>
      <c r="Y839" s="7"/>
      <c r="Z839" s="7"/>
      <c r="AA839" s="7"/>
      <c r="AB839" s="7"/>
      <c r="AC839" s="7"/>
      <c r="AD839" s="7"/>
      <c r="AE839" s="132"/>
      <c r="AF839" s="132"/>
    </row>
    <row r="840" spans="2:32">
      <c r="B840" s="7"/>
      <c r="C840" s="7"/>
      <c r="D840" s="7"/>
      <c r="E840" s="7"/>
      <c r="F840" s="7"/>
      <c r="G840" s="7"/>
      <c r="H840" s="7"/>
      <c r="I840" s="7"/>
      <c r="J840" s="7"/>
      <c r="K840" s="7"/>
      <c r="L840" s="7"/>
      <c r="M840" s="7"/>
      <c r="N840" s="7"/>
      <c r="O840" s="7"/>
      <c r="P840" s="7"/>
      <c r="Q840" s="7"/>
      <c r="R840" s="7"/>
      <c r="S840" s="7"/>
      <c r="T840" s="7"/>
      <c r="U840" s="7"/>
      <c r="V840" s="7"/>
      <c r="W840" s="7"/>
      <c r="X840" s="7"/>
      <c r="Y840" s="7"/>
      <c r="Z840" s="7"/>
      <c r="AA840" s="7"/>
      <c r="AB840" s="7"/>
      <c r="AC840" s="7"/>
      <c r="AD840" s="7"/>
      <c r="AE840" s="132"/>
      <c r="AF840" s="132"/>
    </row>
    <row r="841" spans="2:32">
      <c r="B841" s="7"/>
      <c r="C841" s="7"/>
      <c r="D841" s="7"/>
      <c r="E841" s="7"/>
      <c r="F841" s="7"/>
      <c r="G841" s="7"/>
      <c r="H841" s="7"/>
      <c r="I841" s="7"/>
      <c r="J841" s="7"/>
      <c r="K841" s="7"/>
      <c r="L841" s="7"/>
      <c r="M841" s="7"/>
      <c r="N841" s="7"/>
      <c r="O841" s="7"/>
      <c r="P841" s="7"/>
      <c r="Q841" s="7"/>
      <c r="R841" s="7"/>
      <c r="S841" s="7"/>
      <c r="T841" s="7"/>
      <c r="U841" s="7"/>
      <c r="V841" s="7"/>
      <c r="W841" s="7"/>
      <c r="X841" s="7"/>
      <c r="Y841" s="7"/>
      <c r="Z841" s="7"/>
      <c r="AA841" s="7"/>
      <c r="AB841" s="7"/>
      <c r="AC841" s="7"/>
      <c r="AD841" s="7"/>
      <c r="AE841" s="132"/>
      <c r="AF841" s="132"/>
    </row>
    <row r="842" spans="2:32">
      <c r="B842" s="7"/>
      <c r="C842" s="7"/>
      <c r="D842" s="7"/>
      <c r="E842" s="7"/>
      <c r="F842" s="7"/>
      <c r="G842" s="7"/>
      <c r="H842" s="7"/>
      <c r="I842" s="7"/>
      <c r="J842" s="7"/>
      <c r="K842" s="7"/>
      <c r="L842" s="7"/>
      <c r="M842" s="7"/>
      <c r="N842" s="7"/>
      <c r="O842" s="7"/>
      <c r="P842" s="7"/>
      <c r="Q842" s="7"/>
      <c r="R842" s="7"/>
      <c r="S842" s="7"/>
      <c r="T842" s="7"/>
      <c r="U842" s="7"/>
      <c r="V842" s="7"/>
      <c r="W842" s="7"/>
      <c r="X842" s="7"/>
      <c r="Y842" s="7"/>
      <c r="Z842" s="7"/>
      <c r="AA842" s="7"/>
      <c r="AB842" s="7"/>
      <c r="AC842" s="7"/>
      <c r="AD842" s="7"/>
      <c r="AE842" s="132"/>
      <c r="AF842" s="132"/>
    </row>
    <row r="843" spans="2:32">
      <c r="B843" s="7"/>
      <c r="C843" s="7"/>
      <c r="D843" s="7"/>
      <c r="E843" s="7"/>
      <c r="F843" s="7"/>
      <c r="G843" s="7"/>
      <c r="H843" s="7"/>
      <c r="I843" s="7"/>
      <c r="J843" s="7"/>
      <c r="K843" s="7"/>
      <c r="L843" s="7"/>
      <c r="M843" s="7"/>
      <c r="N843" s="7"/>
      <c r="O843" s="7"/>
      <c r="P843" s="7"/>
      <c r="Q843" s="7"/>
      <c r="R843" s="7"/>
      <c r="S843" s="7"/>
      <c r="T843" s="7"/>
      <c r="U843" s="7"/>
      <c r="V843" s="7"/>
      <c r="W843" s="7"/>
      <c r="X843" s="7"/>
      <c r="Y843" s="7"/>
      <c r="Z843" s="7"/>
      <c r="AA843" s="7"/>
      <c r="AB843" s="7"/>
      <c r="AC843" s="7"/>
      <c r="AD843" s="7"/>
      <c r="AE843" s="132"/>
      <c r="AF843" s="132"/>
    </row>
    <row r="844" spans="2:32">
      <c r="B844" s="7"/>
      <c r="C844" s="7"/>
      <c r="D844" s="7"/>
      <c r="E844" s="7"/>
      <c r="F844" s="7"/>
      <c r="G844" s="7"/>
      <c r="H844" s="7"/>
      <c r="I844" s="7"/>
      <c r="J844" s="7"/>
      <c r="K844" s="7"/>
      <c r="L844" s="7"/>
      <c r="M844" s="7"/>
      <c r="N844" s="7"/>
      <c r="O844" s="7"/>
      <c r="P844" s="7"/>
      <c r="Q844" s="7"/>
      <c r="R844" s="7"/>
      <c r="S844" s="7"/>
      <c r="T844" s="7"/>
      <c r="U844" s="7"/>
      <c r="V844" s="7"/>
      <c r="W844" s="7"/>
      <c r="X844" s="7"/>
      <c r="Y844" s="7"/>
      <c r="Z844" s="7"/>
      <c r="AA844" s="7"/>
      <c r="AB844" s="7"/>
      <c r="AC844" s="7"/>
      <c r="AD844" s="7"/>
      <c r="AE844" s="132"/>
      <c r="AF844" s="132"/>
    </row>
    <row r="845" spans="2:32">
      <c r="B845" s="7"/>
      <c r="C845" s="7"/>
      <c r="D845" s="7"/>
      <c r="E845" s="7"/>
      <c r="F845" s="7"/>
      <c r="G845" s="7"/>
      <c r="H845" s="7"/>
      <c r="I845" s="7"/>
      <c r="J845" s="7"/>
      <c r="K845" s="7"/>
      <c r="L845" s="7"/>
      <c r="M845" s="7"/>
      <c r="N845" s="7"/>
      <c r="O845" s="7"/>
      <c r="P845" s="7"/>
      <c r="Q845" s="7"/>
      <c r="R845" s="7"/>
      <c r="S845" s="7"/>
      <c r="T845" s="7"/>
      <c r="U845" s="7"/>
      <c r="V845" s="7"/>
      <c r="W845" s="7"/>
      <c r="X845" s="7"/>
      <c r="Y845" s="7"/>
      <c r="Z845" s="7"/>
      <c r="AA845" s="7"/>
      <c r="AB845" s="7"/>
      <c r="AC845" s="7"/>
      <c r="AD845" s="7"/>
      <c r="AE845" s="132"/>
      <c r="AF845" s="132"/>
    </row>
    <row r="846" spans="2:32">
      <c r="B846" s="7"/>
      <c r="C846" s="7"/>
      <c r="D846" s="7"/>
      <c r="E846" s="7"/>
      <c r="F846" s="7"/>
      <c r="G846" s="7"/>
      <c r="H846" s="7"/>
      <c r="I846" s="7"/>
      <c r="J846" s="7"/>
      <c r="K846" s="7"/>
      <c r="L846" s="7"/>
      <c r="M846" s="7"/>
      <c r="N846" s="7"/>
      <c r="O846" s="7"/>
      <c r="P846" s="7"/>
      <c r="Q846" s="7"/>
      <c r="R846" s="7"/>
      <c r="S846" s="7"/>
      <c r="T846" s="7"/>
      <c r="U846" s="7"/>
      <c r="V846" s="7"/>
      <c r="W846" s="7"/>
      <c r="X846" s="7"/>
      <c r="Y846" s="7"/>
      <c r="Z846" s="7"/>
      <c r="AA846" s="7"/>
      <c r="AB846" s="7"/>
      <c r="AC846" s="7"/>
      <c r="AD846" s="7"/>
      <c r="AE846" s="132"/>
      <c r="AF846" s="132"/>
    </row>
    <row r="847" spans="2:32">
      <c r="B847" s="7"/>
      <c r="C847" s="7"/>
      <c r="D847" s="7"/>
      <c r="E847" s="7"/>
      <c r="F847" s="7"/>
      <c r="G847" s="7"/>
      <c r="H847" s="7"/>
      <c r="I847" s="7"/>
      <c r="J847" s="7"/>
      <c r="K847" s="7"/>
      <c r="L847" s="7"/>
      <c r="M847" s="7"/>
      <c r="N847" s="7"/>
      <c r="O847" s="7"/>
      <c r="P847" s="7"/>
      <c r="Q847" s="7"/>
      <c r="R847" s="7"/>
      <c r="S847" s="7"/>
      <c r="T847" s="7"/>
      <c r="U847" s="7"/>
      <c r="V847" s="7"/>
      <c r="W847" s="7"/>
      <c r="X847" s="7"/>
      <c r="Y847" s="7"/>
      <c r="Z847" s="7"/>
      <c r="AA847" s="7"/>
      <c r="AB847" s="7"/>
      <c r="AC847" s="7"/>
      <c r="AD847" s="7"/>
      <c r="AE847" s="132"/>
      <c r="AF847" s="132"/>
    </row>
    <row r="848" spans="2:32">
      <c r="B848" s="7"/>
      <c r="C848" s="7"/>
      <c r="D848" s="7"/>
      <c r="E848" s="7"/>
      <c r="F848" s="7"/>
      <c r="G848" s="7"/>
      <c r="H848" s="7"/>
      <c r="I848" s="7"/>
      <c r="J848" s="7"/>
      <c r="K848" s="7"/>
      <c r="L848" s="7"/>
      <c r="M848" s="7"/>
      <c r="N848" s="7"/>
      <c r="O848" s="7"/>
      <c r="P848" s="7"/>
      <c r="Q848" s="7"/>
      <c r="R848" s="7"/>
      <c r="S848" s="7"/>
      <c r="T848" s="7"/>
      <c r="U848" s="7"/>
      <c r="V848" s="7"/>
      <c r="W848" s="7"/>
      <c r="X848" s="7"/>
      <c r="Y848" s="7"/>
      <c r="Z848" s="7"/>
      <c r="AA848" s="7"/>
      <c r="AB848" s="7"/>
      <c r="AC848" s="7"/>
      <c r="AD848" s="7"/>
      <c r="AE848" s="132"/>
      <c r="AF848" s="132"/>
    </row>
    <row r="849" spans="2:32">
      <c r="B849" s="7"/>
      <c r="C849" s="7"/>
      <c r="D849" s="7"/>
      <c r="E849" s="7"/>
      <c r="F849" s="7"/>
      <c r="G849" s="7"/>
      <c r="H849" s="7"/>
      <c r="I849" s="7"/>
      <c r="J849" s="7"/>
      <c r="K849" s="7"/>
      <c r="L849" s="7"/>
      <c r="M849" s="7"/>
      <c r="N849" s="7"/>
      <c r="O849" s="7"/>
      <c r="P849" s="7"/>
      <c r="Q849" s="7"/>
      <c r="R849" s="7"/>
      <c r="S849" s="7"/>
      <c r="T849" s="7"/>
      <c r="U849" s="7"/>
      <c r="V849" s="7"/>
      <c r="W849" s="7"/>
      <c r="X849" s="7"/>
      <c r="Y849" s="7"/>
      <c r="Z849" s="7"/>
      <c r="AA849" s="7"/>
      <c r="AB849" s="7"/>
      <c r="AC849" s="7"/>
      <c r="AD849" s="7"/>
      <c r="AE849" s="132"/>
      <c r="AF849" s="132"/>
    </row>
    <row r="850" spans="2:32">
      <c r="B850" s="7"/>
      <c r="C850" s="7"/>
      <c r="D850" s="7"/>
      <c r="E850" s="7"/>
      <c r="F850" s="7"/>
      <c r="G850" s="7"/>
      <c r="H850" s="7"/>
      <c r="I850" s="7"/>
      <c r="J850" s="7"/>
      <c r="K850" s="7"/>
      <c r="L850" s="7"/>
      <c r="M850" s="7"/>
      <c r="N850" s="7"/>
      <c r="O850" s="7"/>
      <c r="P850" s="7"/>
      <c r="Q850" s="7"/>
      <c r="R850" s="7"/>
      <c r="S850" s="7"/>
      <c r="T850" s="7"/>
      <c r="U850" s="7"/>
      <c r="V850" s="7"/>
      <c r="W850" s="7"/>
      <c r="X850" s="7"/>
      <c r="Y850" s="7"/>
      <c r="Z850" s="7"/>
      <c r="AA850" s="7"/>
      <c r="AB850" s="7"/>
      <c r="AC850" s="7"/>
      <c r="AD850" s="7"/>
      <c r="AE850" s="132"/>
      <c r="AF850" s="132"/>
    </row>
    <row r="851" spans="2:32">
      <c r="B851" s="7"/>
      <c r="C851" s="7"/>
      <c r="D851" s="7"/>
      <c r="E851" s="7"/>
      <c r="F851" s="7"/>
      <c r="G851" s="7"/>
      <c r="H851" s="7"/>
      <c r="I851" s="7"/>
      <c r="J851" s="7"/>
      <c r="K851" s="7"/>
      <c r="L851" s="7"/>
      <c r="M851" s="7"/>
      <c r="N851" s="7"/>
      <c r="O851" s="7"/>
      <c r="P851" s="7"/>
      <c r="Q851" s="7"/>
      <c r="R851" s="7"/>
      <c r="S851" s="7"/>
      <c r="T851" s="7"/>
      <c r="U851" s="7"/>
      <c r="V851" s="7"/>
      <c r="W851" s="7"/>
      <c r="X851" s="7"/>
      <c r="Y851" s="7"/>
      <c r="Z851" s="7"/>
      <c r="AA851" s="7"/>
      <c r="AB851" s="7"/>
      <c r="AC851" s="7"/>
      <c r="AD851" s="7"/>
      <c r="AE851" s="132"/>
      <c r="AF851" s="132"/>
    </row>
    <row r="852" spans="2:32">
      <c r="B852" s="7"/>
      <c r="C852" s="7"/>
      <c r="D852" s="7"/>
      <c r="E852" s="7"/>
      <c r="F852" s="7"/>
      <c r="G852" s="7"/>
      <c r="H852" s="7"/>
      <c r="I852" s="7"/>
      <c r="J852" s="7"/>
      <c r="K852" s="7"/>
      <c r="L852" s="7"/>
      <c r="M852" s="7"/>
      <c r="N852" s="7"/>
      <c r="O852" s="7"/>
      <c r="P852" s="7"/>
      <c r="Q852" s="7"/>
      <c r="R852" s="7"/>
      <c r="S852" s="7"/>
      <c r="T852" s="7"/>
      <c r="U852" s="7"/>
      <c r="V852" s="7"/>
      <c r="W852" s="7"/>
      <c r="X852" s="7"/>
      <c r="Y852" s="7"/>
      <c r="Z852" s="7"/>
      <c r="AA852" s="7"/>
      <c r="AB852" s="7"/>
      <c r="AC852" s="7"/>
      <c r="AD852" s="7"/>
      <c r="AE852" s="132"/>
      <c r="AF852" s="132"/>
    </row>
    <row r="853" spans="2:32">
      <c r="B853" s="7"/>
      <c r="C853" s="7"/>
      <c r="D853" s="7"/>
      <c r="E853" s="7"/>
      <c r="F853" s="7"/>
      <c r="G853" s="7"/>
      <c r="H853" s="7"/>
      <c r="I853" s="7"/>
      <c r="J853" s="7"/>
      <c r="K853" s="7"/>
      <c r="L853" s="7"/>
      <c r="M853" s="7"/>
      <c r="N853" s="7"/>
      <c r="O853" s="7"/>
      <c r="P853" s="7"/>
      <c r="Q853" s="7"/>
      <c r="R853" s="7"/>
      <c r="S853" s="7"/>
      <c r="T853" s="7"/>
      <c r="U853" s="7"/>
      <c r="V853" s="7"/>
      <c r="W853" s="7"/>
      <c r="X853" s="7"/>
      <c r="Y853" s="7"/>
      <c r="Z853" s="7"/>
      <c r="AA853" s="7"/>
      <c r="AB853" s="7"/>
      <c r="AC853" s="7"/>
      <c r="AD853" s="7"/>
      <c r="AE853" s="132"/>
      <c r="AF853" s="132"/>
    </row>
    <row r="854" spans="2:32">
      <c r="B854" s="7"/>
      <c r="C854" s="7"/>
      <c r="D854" s="7"/>
      <c r="E854" s="7"/>
      <c r="F854" s="7"/>
      <c r="G854" s="7"/>
      <c r="H854" s="7"/>
      <c r="I854" s="7"/>
      <c r="J854" s="7"/>
      <c r="K854" s="7"/>
      <c r="L854" s="7"/>
      <c r="M854" s="7"/>
      <c r="N854" s="7"/>
      <c r="O854" s="7"/>
      <c r="P854" s="7"/>
      <c r="Q854" s="7"/>
      <c r="R854" s="7"/>
      <c r="S854" s="7"/>
      <c r="T854" s="7"/>
      <c r="U854" s="7"/>
      <c r="V854" s="7"/>
      <c r="W854" s="7"/>
      <c r="X854" s="7"/>
      <c r="Y854" s="7"/>
      <c r="Z854" s="7"/>
      <c r="AA854" s="7"/>
      <c r="AB854" s="7"/>
      <c r="AC854" s="7"/>
      <c r="AD854" s="7"/>
      <c r="AE854" s="132"/>
      <c r="AF854" s="132"/>
    </row>
    <row r="855" spans="2:32">
      <c r="B855" s="7"/>
      <c r="C855" s="7"/>
      <c r="D855" s="7"/>
      <c r="E855" s="7"/>
      <c r="F855" s="7"/>
      <c r="G855" s="7"/>
      <c r="H855" s="7"/>
      <c r="I855" s="7"/>
      <c r="J855" s="7"/>
      <c r="K855" s="7"/>
      <c r="L855" s="7"/>
      <c r="M855" s="7"/>
      <c r="N855" s="7"/>
      <c r="O855" s="7"/>
      <c r="P855" s="7"/>
      <c r="Q855" s="7"/>
      <c r="R855" s="7"/>
      <c r="S855" s="7"/>
      <c r="T855" s="7"/>
      <c r="U855" s="7"/>
      <c r="V855" s="7"/>
      <c r="W855" s="7"/>
      <c r="X855" s="7"/>
      <c r="Y855" s="7"/>
      <c r="Z855" s="7"/>
      <c r="AA855" s="7"/>
      <c r="AB855" s="7"/>
      <c r="AC855" s="7"/>
      <c r="AD855" s="7"/>
      <c r="AE855" s="132"/>
      <c r="AF855" s="132"/>
    </row>
    <row r="856" spans="2:32">
      <c r="B856" s="7"/>
      <c r="C856" s="7"/>
      <c r="D856" s="7"/>
      <c r="E856" s="7"/>
      <c r="F856" s="7"/>
      <c r="G856" s="7"/>
      <c r="H856" s="7"/>
      <c r="I856" s="7"/>
      <c r="J856" s="7"/>
      <c r="K856" s="7"/>
      <c r="L856" s="7"/>
      <c r="M856" s="7"/>
      <c r="N856" s="7"/>
      <c r="O856" s="7"/>
      <c r="P856" s="7"/>
      <c r="Q856" s="7"/>
      <c r="R856" s="7"/>
      <c r="S856" s="7"/>
      <c r="T856" s="7"/>
      <c r="U856" s="7"/>
      <c r="V856" s="7"/>
      <c r="W856" s="7"/>
      <c r="X856" s="7"/>
      <c r="Y856" s="7"/>
      <c r="Z856" s="7"/>
      <c r="AA856" s="7"/>
      <c r="AB856" s="7"/>
      <c r="AC856" s="7"/>
      <c r="AD856" s="7"/>
      <c r="AE856" s="132"/>
      <c r="AF856" s="132"/>
    </row>
    <row r="857" spans="2:32">
      <c r="B857" s="7"/>
      <c r="C857" s="7"/>
      <c r="D857" s="7"/>
      <c r="E857" s="7"/>
      <c r="F857" s="7"/>
      <c r="G857" s="7"/>
      <c r="H857" s="7"/>
      <c r="I857" s="7"/>
      <c r="J857" s="7"/>
      <c r="K857" s="7"/>
      <c r="L857" s="7"/>
      <c r="M857" s="7"/>
      <c r="N857" s="7"/>
      <c r="O857" s="7"/>
      <c r="P857" s="7"/>
      <c r="Q857" s="7"/>
      <c r="R857" s="7"/>
      <c r="S857" s="7"/>
      <c r="T857" s="7"/>
      <c r="U857" s="7"/>
      <c r="V857" s="7"/>
      <c r="W857" s="7"/>
      <c r="X857" s="7"/>
      <c r="Y857" s="7"/>
      <c r="Z857" s="7"/>
      <c r="AA857" s="7"/>
      <c r="AB857" s="7"/>
      <c r="AC857" s="7"/>
      <c r="AD857" s="7"/>
      <c r="AE857" s="132"/>
      <c r="AF857" s="132"/>
    </row>
    <row r="858" spans="2:32">
      <c r="B858" s="7"/>
      <c r="C858" s="7"/>
      <c r="D858" s="7"/>
      <c r="E858" s="7"/>
      <c r="F858" s="7"/>
      <c r="G858" s="7"/>
      <c r="H858" s="7"/>
      <c r="I858" s="7"/>
      <c r="J858" s="7"/>
      <c r="K858" s="7"/>
      <c r="L858" s="7"/>
      <c r="M858" s="7"/>
      <c r="N858" s="7"/>
      <c r="O858" s="7"/>
      <c r="P858" s="7"/>
      <c r="Q858" s="7"/>
      <c r="R858" s="7"/>
      <c r="S858" s="7"/>
      <c r="T858" s="7"/>
      <c r="U858" s="7"/>
      <c r="V858" s="7"/>
      <c r="W858" s="7"/>
      <c r="X858" s="7"/>
      <c r="Y858" s="7"/>
      <c r="Z858" s="7"/>
      <c r="AA858" s="7"/>
      <c r="AB858" s="7"/>
      <c r="AC858" s="7"/>
      <c r="AD858" s="7"/>
      <c r="AE858" s="132"/>
      <c r="AF858" s="132"/>
    </row>
    <row r="859" spans="2:32">
      <c r="B859" s="7"/>
      <c r="C859" s="7"/>
      <c r="D859" s="7"/>
      <c r="E859" s="7"/>
      <c r="F859" s="7"/>
      <c r="G859" s="7"/>
      <c r="H859" s="7"/>
      <c r="I859" s="7"/>
      <c r="J859" s="7"/>
      <c r="K859" s="7"/>
      <c r="L859" s="7"/>
      <c r="M859" s="7"/>
      <c r="N859" s="7"/>
      <c r="O859" s="7"/>
      <c r="P859" s="7"/>
      <c r="Q859" s="7"/>
      <c r="R859" s="7"/>
      <c r="S859" s="7"/>
      <c r="T859" s="7"/>
      <c r="U859" s="7"/>
      <c r="V859" s="7"/>
      <c r="W859" s="7"/>
      <c r="X859" s="7"/>
      <c r="Y859" s="7"/>
      <c r="Z859" s="7"/>
      <c r="AA859" s="7"/>
      <c r="AB859" s="7"/>
      <c r="AC859" s="7"/>
      <c r="AD859" s="7"/>
      <c r="AE859" s="132"/>
      <c r="AF859" s="132"/>
    </row>
    <row r="860" spans="2:32">
      <c r="B860" s="7"/>
      <c r="C860" s="7"/>
      <c r="D860" s="7"/>
      <c r="E860" s="7"/>
      <c r="F860" s="7"/>
      <c r="G860" s="7"/>
      <c r="H860" s="7"/>
      <c r="I860" s="7"/>
      <c r="J860" s="7"/>
      <c r="K860" s="7"/>
      <c r="L860" s="7"/>
      <c r="M860" s="7"/>
      <c r="N860" s="7"/>
      <c r="O860" s="7"/>
      <c r="P860" s="7"/>
      <c r="Q860" s="7"/>
      <c r="R860" s="7"/>
      <c r="S860" s="7"/>
      <c r="T860" s="7"/>
      <c r="U860" s="7"/>
      <c r="V860" s="7"/>
      <c r="W860" s="7"/>
      <c r="X860" s="7"/>
      <c r="Y860" s="7"/>
      <c r="Z860" s="7"/>
      <c r="AA860" s="7"/>
      <c r="AB860" s="7"/>
      <c r="AC860" s="7"/>
      <c r="AD860" s="7"/>
      <c r="AE860" s="132"/>
      <c r="AF860" s="132"/>
    </row>
    <row r="861" spans="2:32">
      <c r="B861" s="7"/>
      <c r="C861" s="7"/>
      <c r="D861" s="7"/>
      <c r="E861" s="7"/>
      <c r="F861" s="7"/>
      <c r="G861" s="7"/>
      <c r="H861" s="7"/>
      <c r="I861" s="7"/>
      <c r="J861" s="7"/>
      <c r="K861" s="7"/>
      <c r="L861" s="7"/>
      <c r="M861" s="7"/>
      <c r="N861" s="7"/>
      <c r="O861" s="7"/>
      <c r="P861" s="7"/>
      <c r="Q861" s="7"/>
      <c r="R861" s="7"/>
      <c r="S861" s="7"/>
      <c r="T861" s="7"/>
      <c r="U861" s="7"/>
      <c r="V861" s="7"/>
      <c r="W861" s="7"/>
      <c r="X861" s="7"/>
      <c r="Y861" s="7"/>
      <c r="Z861" s="7"/>
      <c r="AA861" s="7"/>
      <c r="AB861" s="7"/>
      <c r="AC861" s="7"/>
      <c r="AD861" s="7"/>
      <c r="AE861" s="132"/>
      <c r="AF861" s="132"/>
    </row>
    <row r="862" spans="2:32">
      <c r="B862" s="7"/>
      <c r="C862" s="7"/>
      <c r="D862" s="7"/>
      <c r="E862" s="7"/>
      <c r="F862" s="7"/>
      <c r="G862" s="7"/>
      <c r="H862" s="7"/>
      <c r="I862" s="7"/>
      <c r="J862" s="7"/>
      <c r="K862" s="7"/>
      <c r="L862" s="7"/>
      <c r="M862" s="7"/>
      <c r="N862" s="7"/>
      <c r="O862" s="7"/>
      <c r="P862" s="7"/>
      <c r="Q862" s="7"/>
      <c r="R862" s="7"/>
      <c r="S862" s="7"/>
      <c r="T862" s="7"/>
      <c r="U862" s="7"/>
      <c r="V862" s="7"/>
      <c r="W862" s="7"/>
      <c r="X862" s="7"/>
      <c r="Y862" s="7"/>
      <c r="Z862" s="7"/>
      <c r="AA862" s="7"/>
      <c r="AB862" s="7"/>
      <c r="AC862" s="7"/>
      <c r="AD862" s="7"/>
      <c r="AE862" s="132"/>
      <c r="AF862" s="132"/>
    </row>
    <row r="863" spans="2:32">
      <c r="B863" s="7"/>
      <c r="C863" s="7"/>
      <c r="D863" s="7"/>
      <c r="E863" s="7"/>
      <c r="F863" s="7"/>
      <c r="G863" s="7"/>
      <c r="H863" s="7"/>
      <c r="I863" s="7"/>
      <c r="J863" s="7"/>
      <c r="K863" s="7"/>
      <c r="L863" s="7"/>
      <c r="M863" s="7"/>
      <c r="N863" s="7"/>
      <c r="O863" s="7"/>
      <c r="P863" s="7"/>
      <c r="Q863" s="7"/>
      <c r="R863" s="7"/>
      <c r="S863" s="7"/>
      <c r="T863" s="7"/>
      <c r="U863" s="7"/>
      <c r="V863" s="7"/>
      <c r="W863" s="7"/>
      <c r="X863" s="7"/>
      <c r="Y863" s="7"/>
      <c r="Z863" s="7"/>
      <c r="AA863" s="7"/>
      <c r="AB863" s="7"/>
      <c r="AC863" s="7"/>
      <c r="AD863" s="7"/>
      <c r="AE863" s="132"/>
      <c r="AF863" s="132"/>
    </row>
    <row r="864" spans="2:32">
      <c r="B864" s="7"/>
      <c r="C864" s="7"/>
      <c r="D864" s="7"/>
      <c r="E864" s="7"/>
      <c r="F864" s="7"/>
      <c r="G864" s="7"/>
      <c r="H864" s="7"/>
      <c r="I864" s="7"/>
      <c r="J864" s="7"/>
      <c r="K864" s="7"/>
      <c r="L864" s="7"/>
      <c r="M864" s="7"/>
      <c r="N864" s="7"/>
      <c r="O864" s="7"/>
      <c r="P864" s="7"/>
      <c r="Q864" s="7"/>
      <c r="R864" s="7"/>
      <c r="S864" s="7"/>
      <c r="T864" s="7"/>
      <c r="U864" s="7"/>
      <c r="V864" s="7"/>
      <c r="W864" s="7"/>
      <c r="X864" s="7"/>
      <c r="Y864" s="7"/>
      <c r="Z864" s="7"/>
      <c r="AA864" s="7"/>
      <c r="AB864" s="7"/>
      <c r="AC864" s="7"/>
      <c r="AD864" s="7"/>
      <c r="AE864" s="132"/>
      <c r="AF864" s="132"/>
    </row>
    <row r="865" spans="2:32">
      <c r="B865" s="7"/>
      <c r="C865" s="7"/>
      <c r="D865" s="7"/>
      <c r="E865" s="7"/>
      <c r="F865" s="7"/>
      <c r="G865" s="7"/>
      <c r="H865" s="7"/>
      <c r="I865" s="7"/>
      <c r="J865" s="7"/>
      <c r="K865" s="7"/>
      <c r="L865" s="7"/>
      <c r="M865" s="7"/>
      <c r="N865" s="7"/>
      <c r="O865" s="7"/>
      <c r="P865" s="7"/>
      <c r="Q865" s="7"/>
      <c r="R865" s="7"/>
      <c r="S865" s="7"/>
      <c r="T865" s="7"/>
      <c r="U865" s="7"/>
      <c r="V865" s="7"/>
      <c r="W865" s="7"/>
      <c r="X865" s="7"/>
      <c r="Y865" s="7"/>
      <c r="Z865" s="7"/>
      <c r="AA865" s="7"/>
      <c r="AB865" s="7"/>
      <c r="AC865" s="7"/>
      <c r="AD865" s="7"/>
      <c r="AE865" s="132"/>
      <c r="AF865" s="132"/>
    </row>
    <row r="866" spans="2:32">
      <c r="B866" s="7"/>
      <c r="C866" s="7"/>
      <c r="D866" s="7"/>
      <c r="E866" s="7"/>
      <c r="F866" s="7"/>
      <c r="G866" s="7"/>
      <c r="H866" s="7"/>
      <c r="I866" s="7"/>
      <c r="J866" s="7"/>
      <c r="K866" s="7"/>
      <c r="L866" s="7"/>
      <c r="M866" s="7"/>
      <c r="N866" s="7"/>
      <c r="O866" s="7"/>
      <c r="P866" s="7"/>
      <c r="Q866" s="7"/>
      <c r="R866" s="7"/>
      <c r="S866" s="7"/>
      <c r="T866" s="7"/>
      <c r="U866" s="7"/>
      <c r="V866" s="7"/>
      <c r="W866" s="7"/>
      <c r="X866" s="7"/>
      <c r="Y866" s="7"/>
      <c r="Z866" s="7"/>
      <c r="AA866" s="7"/>
      <c r="AB866" s="7"/>
      <c r="AC866" s="7"/>
      <c r="AD866" s="7"/>
      <c r="AE866" s="132"/>
      <c r="AF866" s="132"/>
    </row>
    <row r="867" spans="2:32">
      <c r="B867" s="7"/>
      <c r="C867" s="7"/>
      <c r="D867" s="7"/>
      <c r="E867" s="7"/>
      <c r="F867" s="7"/>
      <c r="G867" s="7"/>
      <c r="H867" s="7"/>
      <c r="I867" s="7"/>
      <c r="J867" s="7"/>
      <c r="K867" s="7"/>
      <c r="L867" s="7"/>
      <c r="M867" s="7"/>
      <c r="N867" s="7"/>
      <c r="O867" s="7"/>
      <c r="P867" s="7"/>
      <c r="Q867" s="7"/>
      <c r="R867" s="7"/>
      <c r="S867" s="7"/>
      <c r="T867" s="7"/>
      <c r="U867" s="7"/>
      <c r="V867" s="7"/>
      <c r="W867" s="7"/>
      <c r="X867" s="7"/>
      <c r="Y867" s="7"/>
      <c r="Z867" s="7"/>
      <c r="AA867" s="7"/>
      <c r="AB867" s="7"/>
      <c r="AC867" s="7"/>
      <c r="AD867" s="7"/>
      <c r="AE867" s="132"/>
      <c r="AF867" s="132"/>
    </row>
    <row r="868" spans="2:32">
      <c r="B868" s="7"/>
      <c r="C868" s="7"/>
      <c r="D868" s="7"/>
      <c r="E868" s="7"/>
      <c r="F868" s="7"/>
      <c r="G868" s="7"/>
      <c r="H868" s="7"/>
      <c r="I868" s="7"/>
      <c r="J868" s="7"/>
      <c r="K868" s="7"/>
      <c r="L868" s="7"/>
      <c r="M868" s="7"/>
      <c r="N868" s="7"/>
      <c r="O868" s="7"/>
      <c r="P868" s="7"/>
      <c r="Q868" s="7"/>
      <c r="R868" s="7"/>
      <c r="S868" s="7"/>
      <c r="T868" s="7"/>
      <c r="U868" s="7"/>
      <c r="V868" s="7"/>
      <c r="W868" s="7"/>
      <c r="X868" s="7"/>
      <c r="Y868" s="7"/>
      <c r="Z868" s="7"/>
      <c r="AA868" s="7"/>
      <c r="AB868" s="7"/>
      <c r="AC868" s="7"/>
      <c r="AD868" s="7"/>
      <c r="AE868" s="132"/>
      <c r="AF868" s="132"/>
    </row>
    <row r="869" spans="2:32">
      <c r="B869" s="7"/>
      <c r="C869" s="7"/>
      <c r="D869" s="7"/>
      <c r="E869" s="7"/>
      <c r="F869" s="7"/>
      <c r="G869" s="7"/>
      <c r="H869" s="7"/>
      <c r="I869" s="7"/>
      <c r="J869" s="7"/>
      <c r="K869" s="7"/>
      <c r="L869" s="7"/>
      <c r="M869" s="7"/>
      <c r="N869" s="7"/>
      <c r="O869" s="7"/>
      <c r="P869" s="7"/>
      <c r="Q869" s="7"/>
      <c r="R869" s="7"/>
      <c r="S869" s="7"/>
      <c r="T869" s="7"/>
      <c r="U869" s="7"/>
      <c r="V869" s="7"/>
      <c r="W869" s="7"/>
      <c r="X869" s="7"/>
      <c r="Y869" s="7"/>
      <c r="Z869" s="7"/>
      <c r="AA869" s="7"/>
      <c r="AB869" s="7"/>
      <c r="AC869" s="7"/>
      <c r="AD869" s="7"/>
      <c r="AE869" s="132"/>
      <c r="AF869" s="132"/>
    </row>
    <row r="870" spans="2:32">
      <c r="B870" s="7"/>
      <c r="C870" s="7"/>
      <c r="D870" s="7"/>
      <c r="E870" s="7"/>
      <c r="F870" s="7"/>
      <c r="G870" s="7"/>
      <c r="H870" s="7"/>
      <c r="I870" s="7"/>
      <c r="J870" s="7"/>
      <c r="K870" s="7"/>
      <c r="L870" s="7"/>
      <c r="M870" s="7"/>
      <c r="N870" s="7"/>
      <c r="O870" s="7"/>
      <c r="P870" s="7"/>
      <c r="Q870" s="7"/>
      <c r="R870" s="7"/>
      <c r="S870" s="7"/>
      <c r="T870" s="7"/>
      <c r="U870" s="7"/>
      <c r="V870" s="7"/>
      <c r="W870" s="7"/>
      <c r="X870" s="7"/>
      <c r="Y870" s="7"/>
      <c r="Z870" s="7"/>
      <c r="AA870" s="7"/>
      <c r="AB870" s="7"/>
      <c r="AC870" s="7"/>
      <c r="AD870" s="7"/>
      <c r="AE870" s="132"/>
      <c r="AF870" s="132"/>
    </row>
    <row r="871" spans="2:32">
      <c r="B871" s="7"/>
      <c r="C871" s="7"/>
      <c r="D871" s="7"/>
      <c r="E871" s="7"/>
      <c r="F871" s="7"/>
      <c r="G871" s="7"/>
      <c r="H871" s="7"/>
      <c r="I871" s="7"/>
      <c r="J871" s="7"/>
      <c r="K871" s="7"/>
      <c r="L871" s="7"/>
      <c r="M871" s="7"/>
      <c r="N871" s="7"/>
      <c r="O871" s="7"/>
      <c r="P871" s="7"/>
      <c r="Q871" s="7"/>
      <c r="R871" s="7"/>
      <c r="S871" s="7"/>
      <c r="T871" s="7"/>
      <c r="U871" s="7"/>
      <c r="V871" s="7"/>
      <c r="W871" s="7"/>
      <c r="X871" s="7"/>
      <c r="Y871" s="7"/>
      <c r="Z871" s="7"/>
      <c r="AA871" s="7"/>
      <c r="AB871" s="7"/>
      <c r="AC871" s="7"/>
      <c r="AD871" s="7"/>
      <c r="AE871" s="132"/>
      <c r="AF871" s="132"/>
    </row>
    <row r="872" spans="2:32">
      <c r="B872" s="7"/>
      <c r="C872" s="7"/>
      <c r="D872" s="7"/>
      <c r="E872" s="7"/>
      <c r="F872" s="7"/>
      <c r="G872" s="7"/>
      <c r="H872" s="7"/>
      <c r="I872" s="7"/>
      <c r="J872" s="7"/>
      <c r="K872" s="7"/>
      <c r="L872" s="7"/>
      <c r="M872" s="7"/>
      <c r="N872" s="7"/>
      <c r="O872" s="7"/>
      <c r="P872" s="7"/>
      <c r="Q872" s="7"/>
      <c r="R872" s="7"/>
      <c r="S872" s="7"/>
      <c r="T872" s="7"/>
      <c r="U872" s="7"/>
      <c r="V872" s="7"/>
      <c r="W872" s="7"/>
      <c r="X872" s="7"/>
      <c r="Y872" s="7"/>
      <c r="Z872" s="7"/>
      <c r="AA872" s="7"/>
      <c r="AB872" s="7"/>
      <c r="AC872" s="7"/>
      <c r="AD872" s="7"/>
      <c r="AE872" s="132"/>
      <c r="AF872" s="132"/>
    </row>
    <row r="873" spans="2:32">
      <c r="B873" s="7"/>
      <c r="C873" s="7"/>
      <c r="D873" s="7"/>
      <c r="E873" s="7"/>
      <c r="F873" s="7"/>
      <c r="G873" s="7"/>
      <c r="H873" s="7"/>
      <c r="I873" s="7"/>
      <c r="J873" s="7"/>
      <c r="K873" s="7"/>
      <c r="L873" s="7"/>
      <c r="M873" s="7"/>
      <c r="N873" s="7"/>
      <c r="O873" s="7"/>
      <c r="P873" s="7"/>
      <c r="Q873" s="7"/>
      <c r="R873" s="7"/>
      <c r="S873" s="7"/>
      <c r="T873" s="7"/>
      <c r="U873" s="7"/>
      <c r="V873" s="7"/>
      <c r="W873" s="7"/>
      <c r="X873" s="7"/>
      <c r="Y873" s="7"/>
      <c r="Z873" s="7"/>
      <c r="AA873" s="7"/>
      <c r="AB873" s="7"/>
      <c r="AC873" s="7"/>
      <c r="AD873" s="7"/>
      <c r="AE873" s="132"/>
      <c r="AF873" s="132"/>
    </row>
    <row r="874" spans="2:32">
      <c r="B874" s="7"/>
      <c r="C874" s="7"/>
      <c r="D874" s="7"/>
      <c r="E874" s="7"/>
      <c r="F874" s="7"/>
      <c r="G874" s="7"/>
      <c r="H874" s="7"/>
      <c r="I874" s="7"/>
      <c r="J874" s="7"/>
      <c r="K874" s="7"/>
      <c r="L874" s="7"/>
      <c r="M874" s="7"/>
      <c r="N874" s="7"/>
      <c r="O874" s="7"/>
      <c r="P874" s="7"/>
      <c r="Q874" s="7"/>
      <c r="R874" s="7"/>
      <c r="S874" s="7"/>
      <c r="T874" s="7"/>
      <c r="U874" s="7"/>
      <c r="V874" s="7"/>
      <c r="W874" s="7"/>
      <c r="X874" s="7"/>
      <c r="Y874" s="7"/>
      <c r="Z874" s="7"/>
      <c r="AA874" s="7"/>
      <c r="AB874" s="7"/>
      <c r="AC874" s="7"/>
      <c r="AD874" s="7"/>
      <c r="AE874" s="132"/>
      <c r="AF874" s="132"/>
    </row>
    <row r="875" spans="2:32">
      <c r="B875" s="7"/>
      <c r="C875" s="7"/>
      <c r="D875" s="7"/>
      <c r="E875" s="7"/>
      <c r="F875" s="7"/>
      <c r="G875" s="7"/>
      <c r="H875" s="7"/>
      <c r="I875" s="7"/>
      <c r="J875" s="7"/>
      <c r="K875" s="7"/>
      <c r="L875" s="7"/>
      <c r="M875" s="7"/>
      <c r="N875" s="7"/>
      <c r="O875" s="7"/>
      <c r="P875" s="7"/>
      <c r="Q875" s="7"/>
      <c r="R875" s="7"/>
      <c r="S875" s="7"/>
      <c r="T875" s="7"/>
      <c r="U875" s="7"/>
      <c r="V875" s="7"/>
      <c r="W875" s="7"/>
      <c r="X875" s="7"/>
      <c r="Y875" s="7"/>
      <c r="Z875" s="7"/>
      <c r="AA875" s="7"/>
      <c r="AB875" s="7"/>
      <c r="AC875" s="7"/>
      <c r="AD875" s="7"/>
      <c r="AE875" s="132"/>
      <c r="AF875" s="132"/>
    </row>
    <row r="876" spans="2:32">
      <c r="B876" s="7"/>
      <c r="C876" s="7"/>
      <c r="D876" s="7"/>
      <c r="E876" s="7"/>
      <c r="F876" s="7"/>
      <c r="G876" s="7"/>
      <c r="H876" s="7"/>
      <c r="I876" s="7"/>
      <c r="J876" s="7"/>
      <c r="K876" s="7"/>
      <c r="L876" s="7"/>
      <c r="M876" s="7"/>
      <c r="N876" s="7"/>
      <c r="O876" s="7"/>
      <c r="P876" s="7"/>
      <c r="Q876" s="7"/>
      <c r="R876" s="7"/>
      <c r="S876" s="7"/>
      <c r="T876" s="7"/>
      <c r="U876" s="7"/>
      <c r="V876" s="7"/>
      <c r="W876" s="7"/>
      <c r="X876" s="7"/>
      <c r="Y876" s="7"/>
      <c r="Z876" s="7"/>
      <c r="AA876" s="7"/>
      <c r="AB876" s="7"/>
      <c r="AC876" s="7"/>
      <c r="AD876" s="7"/>
      <c r="AE876" s="132"/>
      <c r="AF876" s="132"/>
    </row>
    <row r="877" spans="2:32">
      <c r="B877" s="7"/>
      <c r="C877" s="7"/>
      <c r="D877" s="7"/>
      <c r="E877" s="7"/>
      <c r="F877" s="7"/>
      <c r="G877" s="7"/>
      <c r="H877" s="7"/>
      <c r="I877" s="7"/>
      <c r="J877" s="7"/>
      <c r="K877" s="7"/>
      <c r="L877" s="7"/>
      <c r="M877" s="7"/>
      <c r="N877" s="7"/>
      <c r="O877" s="7"/>
      <c r="P877" s="7"/>
      <c r="Q877" s="7"/>
      <c r="R877" s="7"/>
      <c r="S877" s="7"/>
      <c r="T877" s="7"/>
      <c r="U877" s="7"/>
      <c r="V877" s="7"/>
      <c r="W877" s="7"/>
      <c r="X877" s="7"/>
      <c r="Y877" s="7"/>
      <c r="Z877" s="7"/>
      <c r="AA877" s="7"/>
      <c r="AB877" s="7"/>
      <c r="AC877" s="7"/>
      <c r="AD877" s="7"/>
      <c r="AE877" s="132"/>
      <c r="AF877" s="132"/>
    </row>
    <row r="878" spans="2:32">
      <c r="B878" s="7"/>
      <c r="C878" s="7"/>
      <c r="D878" s="7"/>
      <c r="E878" s="7"/>
      <c r="F878" s="7"/>
      <c r="G878" s="7"/>
      <c r="H878" s="7"/>
      <c r="I878" s="7"/>
      <c r="J878" s="7"/>
      <c r="K878" s="7"/>
      <c r="L878" s="7"/>
      <c r="M878" s="7"/>
      <c r="N878" s="7"/>
      <c r="O878" s="7"/>
      <c r="P878" s="7"/>
      <c r="Q878" s="7"/>
      <c r="R878" s="7"/>
      <c r="S878" s="7"/>
      <c r="T878" s="7"/>
      <c r="U878" s="7"/>
      <c r="V878" s="7"/>
      <c r="W878" s="7"/>
      <c r="X878" s="7"/>
      <c r="Y878" s="7"/>
      <c r="Z878" s="7"/>
      <c r="AA878" s="7"/>
      <c r="AB878" s="7"/>
      <c r="AC878" s="7"/>
      <c r="AD878" s="7"/>
      <c r="AE878" s="132"/>
      <c r="AF878" s="132"/>
    </row>
    <row r="879" spans="2:32">
      <c r="B879" s="7"/>
      <c r="C879" s="7"/>
      <c r="D879" s="7"/>
      <c r="E879" s="7"/>
      <c r="F879" s="7"/>
      <c r="G879" s="7"/>
      <c r="H879" s="7"/>
      <c r="I879" s="7"/>
      <c r="J879" s="7"/>
      <c r="K879" s="7"/>
      <c r="L879" s="7"/>
      <c r="M879" s="7"/>
      <c r="N879" s="7"/>
      <c r="O879" s="7"/>
      <c r="P879" s="7"/>
      <c r="Q879" s="7"/>
      <c r="R879" s="7"/>
      <c r="S879" s="7"/>
      <c r="T879" s="7"/>
      <c r="U879" s="7"/>
      <c r="V879" s="7"/>
      <c r="W879" s="7"/>
      <c r="X879" s="7"/>
      <c r="Y879" s="7"/>
      <c r="Z879" s="7"/>
      <c r="AA879" s="7"/>
      <c r="AB879" s="7"/>
      <c r="AC879" s="7"/>
      <c r="AD879" s="7"/>
      <c r="AE879" s="132"/>
      <c r="AF879" s="132"/>
    </row>
    <row r="880" spans="2:32">
      <c r="B880" s="7"/>
      <c r="C880" s="7"/>
      <c r="D880" s="7"/>
      <c r="E880" s="7"/>
      <c r="F880" s="7"/>
      <c r="G880" s="7"/>
      <c r="H880" s="7"/>
      <c r="I880" s="7"/>
      <c r="J880" s="7"/>
      <c r="K880" s="7"/>
      <c r="L880" s="7"/>
      <c r="M880" s="7"/>
      <c r="N880" s="7"/>
      <c r="O880" s="7"/>
      <c r="P880" s="7"/>
      <c r="Q880" s="7"/>
      <c r="R880" s="7"/>
      <c r="S880" s="7"/>
      <c r="T880" s="7"/>
      <c r="U880" s="7"/>
      <c r="V880" s="7"/>
      <c r="W880" s="7"/>
      <c r="X880" s="7"/>
      <c r="Y880" s="7"/>
      <c r="Z880" s="7"/>
      <c r="AA880" s="7"/>
      <c r="AB880" s="7"/>
      <c r="AC880" s="7"/>
      <c r="AD880" s="7"/>
      <c r="AE880" s="132"/>
      <c r="AF880" s="132"/>
    </row>
    <row r="881" spans="2:32">
      <c r="B881" s="7"/>
      <c r="C881" s="7"/>
      <c r="D881" s="7"/>
      <c r="E881" s="7"/>
      <c r="F881" s="7"/>
      <c r="G881" s="7"/>
      <c r="H881" s="7"/>
      <c r="I881" s="7"/>
      <c r="J881" s="7"/>
      <c r="K881" s="7"/>
      <c r="L881" s="7"/>
      <c r="M881" s="7"/>
      <c r="N881" s="7"/>
      <c r="O881" s="7"/>
      <c r="P881" s="7"/>
      <c r="Q881" s="7"/>
      <c r="R881" s="7"/>
      <c r="S881" s="7"/>
      <c r="T881" s="7"/>
      <c r="U881" s="7"/>
      <c r="V881" s="7"/>
      <c r="W881" s="7"/>
      <c r="X881" s="7"/>
      <c r="Y881" s="7"/>
      <c r="Z881" s="7"/>
      <c r="AA881" s="7"/>
      <c r="AB881" s="7"/>
      <c r="AC881" s="7"/>
      <c r="AD881" s="7"/>
      <c r="AE881" s="132"/>
      <c r="AF881" s="132"/>
    </row>
    <row r="882" spans="2:32">
      <c r="B882" s="7"/>
      <c r="C882" s="7"/>
      <c r="D882" s="7"/>
      <c r="E882" s="7"/>
      <c r="F882" s="7"/>
      <c r="G882" s="7"/>
      <c r="H882" s="7"/>
      <c r="I882" s="7"/>
      <c r="J882" s="7"/>
      <c r="K882" s="7"/>
      <c r="L882" s="7"/>
      <c r="M882" s="7"/>
      <c r="N882" s="7"/>
      <c r="O882" s="7"/>
      <c r="P882" s="7"/>
      <c r="Q882" s="7"/>
      <c r="R882" s="7"/>
      <c r="S882" s="7"/>
      <c r="T882" s="7"/>
      <c r="U882" s="7"/>
      <c r="V882" s="7"/>
      <c r="W882" s="7"/>
      <c r="X882" s="7"/>
      <c r="Y882" s="7"/>
      <c r="Z882" s="7"/>
      <c r="AA882" s="7"/>
      <c r="AB882" s="7"/>
      <c r="AC882" s="7"/>
      <c r="AD882" s="7"/>
      <c r="AE882" s="132"/>
      <c r="AF882" s="132"/>
    </row>
    <row r="883" spans="2:32">
      <c r="B883" s="7"/>
      <c r="C883" s="7"/>
      <c r="D883" s="7"/>
      <c r="E883" s="7"/>
      <c r="F883" s="7"/>
      <c r="G883" s="7"/>
      <c r="H883" s="7"/>
      <c r="I883" s="7"/>
      <c r="J883" s="7"/>
      <c r="K883" s="7"/>
      <c r="L883" s="7"/>
      <c r="M883" s="7"/>
      <c r="N883" s="7"/>
      <c r="O883" s="7"/>
      <c r="P883" s="7"/>
      <c r="Q883" s="7"/>
      <c r="R883" s="7"/>
      <c r="S883" s="7"/>
      <c r="T883" s="7"/>
      <c r="U883" s="7"/>
      <c r="V883" s="7"/>
      <c r="W883" s="7"/>
      <c r="X883" s="7"/>
      <c r="Y883" s="7"/>
      <c r="Z883" s="7"/>
      <c r="AA883" s="7"/>
      <c r="AB883" s="7"/>
      <c r="AC883" s="7"/>
      <c r="AD883" s="7"/>
      <c r="AE883" s="132"/>
      <c r="AF883" s="132"/>
    </row>
    <row r="884" spans="2:32">
      <c r="B884" s="7"/>
      <c r="C884" s="7"/>
      <c r="D884" s="7"/>
      <c r="E884" s="7"/>
      <c r="F884" s="7"/>
      <c r="G884" s="7"/>
      <c r="H884" s="7"/>
      <c r="I884" s="7"/>
      <c r="J884" s="7"/>
      <c r="K884" s="7"/>
      <c r="L884" s="7"/>
      <c r="M884" s="7"/>
      <c r="N884" s="7"/>
      <c r="O884" s="7"/>
      <c r="P884" s="7"/>
      <c r="Q884" s="7"/>
      <c r="R884" s="7"/>
      <c r="S884" s="7"/>
      <c r="T884" s="7"/>
      <c r="U884" s="7"/>
      <c r="V884" s="7"/>
      <c r="W884" s="7"/>
      <c r="X884" s="7"/>
      <c r="Y884" s="7"/>
      <c r="Z884" s="7"/>
      <c r="AA884" s="7"/>
      <c r="AB884" s="7"/>
      <c r="AC884" s="7"/>
      <c r="AD884" s="7"/>
      <c r="AE884" s="132"/>
      <c r="AF884" s="132"/>
    </row>
    <row r="885" spans="2:32">
      <c r="B885" s="7"/>
      <c r="C885" s="7"/>
      <c r="D885" s="7"/>
      <c r="E885" s="7"/>
      <c r="F885" s="7"/>
      <c r="G885" s="7"/>
      <c r="H885" s="7"/>
      <c r="I885" s="7"/>
      <c r="J885" s="7"/>
      <c r="K885" s="7"/>
      <c r="L885" s="7"/>
      <c r="M885" s="7"/>
      <c r="N885" s="7"/>
      <c r="O885" s="7"/>
      <c r="P885" s="7"/>
      <c r="Q885" s="7"/>
      <c r="R885" s="7"/>
      <c r="S885" s="7"/>
      <c r="T885" s="7"/>
      <c r="U885" s="7"/>
      <c r="V885" s="7"/>
      <c r="W885" s="7"/>
      <c r="X885" s="7"/>
      <c r="Y885" s="7"/>
      <c r="Z885" s="7"/>
      <c r="AA885" s="7"/>
      <c r="AB885" s="7"/>
      <c r="AC885" s="7"/>
      <c r="AD885" s="7"/>
      <c r="AE885" s="132"/>
      <c r="AF885" s="132"/>
    </row>
    <row r="886" spans="2:32">
      <c r="B886" s="7"/>
      <c r="C886" s="7"/>
      <c r="D886" s="7"/>
      <c r="E886" s="7"/>
      <c r="F886" s="7"/>
      <c r="G886" s="7"/>
      <c r="H886" s="7"/>
      <c r="I886" s="7"/>
      <c r="J886" s="7"/>
      <c r="K886" s="7"/>
      <c r="L886" s="7"/>
      <c r="M886" s="7"/>
      <c r="N886" s="7"/>
      <c r="O886" s="7"/>
      <c r="P886" s="7"/>
      <c r="Q886" s="7"/>
      <c r="R886" s="7"/>
      <c r="S886" s="7"/>
      <c r="T886" s="7"/>
      <c r="U886" s="7"/>
      <c r="V886" s="7"/>
      <c r="W886" s="7"/>
      <c r="X886" s="7"/>
      <c r="Y886" s="7"/>
      <c r="Z886" s="7"/>
      <c r="AA886" s="7"/>
      <c r="AB886" s="7"/>
      <c r="AC886" s="7"/>
      <c r="AD886" s="7"/>
      <c r="AE886" s="132"/>
      <c r="AF886" s="132"/>
    </row>
    <row r="887" spans="2:32">
      <c r="B887" s="7"/>
      <c r="C887" s="7"/>
      <c r="D887" s="7"/>
      <c r="E887" s="7"/>
      <c r="F887" s="7"/>
      <c r="G887" s="7"/>
      <c r="H887" s="7"/>
      <c r="I887" s="7"/>
      <c r="J887" s="7"/>
      <c r="K887" s="7"/>
      <c r="L887" s="7"/>
      <c r="M887" s="7"/>
      <c r="N887" s="7"/>
      <c r="O887" s="7"/>
      <c r="P887" s="7"/>
      <c r="Q887" s="7"/>
      <c r="R887" s="7"/>
      <c r="S887" s="7"/>
      <c r="T887" s="7"/>
      <c r="U887" s="7"/>
      <c r="V887" s="7"/>
      <c r="W887" s="7"/>
      <c r="X887" s="7"/>
      <c r="Y887" s="7"/>
      <c r="Z887" s="7"/>
      <c r="AA887" s="7"/>
      <c r="AB887" s="7"/>
      <c r="AC887" s="7"/>
      <c r="AD887" s="7"/>
      <c r="AE887" s="132"/>
      <c r="AF887" s="132"/>
    </row>
    <row r="888" spans="2:32">
      <c r="B888" s="7"/>
      <c r="C888" s="7"/>
      <c r="D888" s="7"/>
      <c r="E888" s="7"/>
      <c r="F888" s="7"/>
      <c r="G888" s="7"/>
      <c r="H888" s="7"/>
      <c r="I888" s="7"/>
      <c r="J888" s="7"/>
      <c r="K888" s="7"/>
      <c r="L888" s="7"/>
      <c r="M888" s="7"/>
      <c r="N888" s="7"/>
      <c r="O888" s="7"/>
      <c r="P888" s="7"/>
      <c r="Q888" s="7"/>
      <c r="R888" s="7"/>
      <c r="S888" s="7"/>
      <c r="T888" s="7"/>
      <c r="U888" s="7"/>
      <c r="V888" s="7"/>
      <c r="W888" s="7"/>
      <c r="X888" s="7"/>
      <c r="Y888" s="7"/>
      <c r="Z888" s="7"/>
      <c r="AA888" s="7"/>
      <c r="AB888" s="7"/>
      <c r="AC888" s="7"/>
      <c r="AD888" s="7"/>
      <c r="AE888" s="132"/>
      <c r="AF888" s="132"/>
    </row>
    <row r="889" spans="2:32">
      <c r="B889" s="7"/>
      <c r="C889" s="7"/>
      <c r="D889" s="7"/>
      <c r="E889" s="7"/>
      <c r="F889" s="7"/>
      <c r="G889" s="7"/>
      <c r="H889" s="7"/>
      <c r="I889" s="7"/>
      <c r="J889" s="7"/>
      <c r="K889" s="7"/>
      <c r="L889" s="7"/>
      <c r="M889" s="7"/>
      <c r="N889" s="7"/>
      <c r="O889" s="7"/>
      <c r="P889" s="7"/>
      <c r="Q889" s="7"/>
      <c r="R889" s="7"/>
      <c r="S889" s="7"/>
      <c r="T889" s="7"/>
      <c r="U889" s="7"/>
      <c r="V889" s="7"/>
      <c r="W889" s="7"/>
      <c r="X889" s="7"/>
      <c r="Y889" s="7"/>
      <c r="AB889" s="7"/>
      <c r="AC889" s="7"/>
      <c r="AD889" s="7"/>
      <c r="AE889" s="132"/>
      <c r="AF889" s="132"/>
    </row>
    <row r="890" spans="2:32">
      <c r="B890" s="7"/>
      <c r="C890" s="7"/>
      <c r="D890" s="7"/>
      <c r="E890" s="7"/>
      <c r="F890" s="7"/>
      <c r="G890" s="7"/>
      <c r="H890" s="7"/>
      <c r="I890" s="7"/>
      <c r="J890" s="7"/>
      <c r="K890" s="7"/>
      <c r="L890" s="7"/>
      <c r="M890" s="7"/>
      <c r="N890" s="7"/>
      <c r="O890" s="7"/>
      <c r="P890" s="7"/>
      <c r="Q890" s="7"/>
      <c r="R890" s="7"/>
      <c r="S890" s="7"/>
      <c r="T890" s="7"/>
      <c r="U890" s="7"/>
      <c r="V890" s="7"/>
      <c r="W890" s="7"/>
      <c r="X890" s="7"/>
      <c r="Y890" s="7"/>
      <c r="AD890" s="7"/>
      <c r="AE890" s="132"/>
      <c r="AF890" s="132"/>
    </row>
    <row r="891" spans="2:32">
      <c r="B891" s="7"/>
      <c r="C891" s="7"/>
      <c r="D891" s="7"/>
      <c r="E891" s="7"/>
      <c r="F891" s="7"/>
      <c r="G891" s="7"/>
      <c r="H891" s="7"/>
      <c r="I891" s="7"/>
      <c r="J891" s="7"/>
      <c r="K891" s="7"/>
      <c r="L891" s="7"/>
      <c r="M891" s="7"/>
      <c r="N891" s="7"/>
      <c r="O891" s="7"/>
      <c r="P891" s="7"/>
      <c r="Q891" s="7"/>
      <c r="R891" s="7"/>
      <c r="S891" s="7"/>
      <c r="T891" s="7"/>
      <c r="U891" s="7"/>
      <c r="V891" s="7"/>
      <c r="W891" s="7"/>
      <c r="X891" s="7"/>
      <c r="Y891" s="7"/>
      <c r="AD891" s="7"/>
      <c r="AE891" s="132"/>
      <c r="AF891" s="132"/>
    </row>
    <row r="892" spans="2:32">
      <c r="B892" s="7"/>
      <c r="C892" s="7"/>
      <c r="D892" s="7"/>
      <c r="E892" s="7"/>
      <c r="F892" s="7"/>
      <c r="G892" s="7"/>
      <c r="H892" s="7"/>
      <c r="I892" s="7"/>
      <c r="J892" s="7"/>
      <c r="K892" s="7"/>
      <c r="L892" s="7"/>
      <c r="M892" s="7"/>
      <c r="N892" s="7"/>
      <c r="O892" s="7"/>
      <c r="P892" s="7"/>
      <c r="Q892" s="7"/>
      <c r="R892" s="7"/>
      <c r="S892" s="7"/>
      <c r="T892" s="7"/>
      <c r="U892" s="7"/>
      <c r="V892" s="7"/>
      <c r="W892" s="7"/>
      <c r="X892" s="7"/>
      <c r="Y892" s="7"/>
      <c r="AD892" s="7"/>
      <c r="AE892" s="132"/>
      <c r="AF892" s="132"/>
    </row>
    <row r="893" spans="2:32">
      <c r="B893" s="7"/>
      <c r="C893" s="7"/>
      <c r="D893" s="7"/>
      <c r="E893" s="7"/>
      <c r="F893" s="7"/>
      <c r="G893" s="7"/>
      <c r="H893" s="7"/>
      <c r="I893" s="7"/>
      <c r="J893" s="7"/>
      <c r="K893" s="7"/>
      <c r="L893" s="7"/>
      <c r="M893" s="7"/>
      <c r="N893" s="7"/>
      <c r="O893" s="7"/>
      <c r="P893" s="7"/>
      <c r="Q893" s="7"/>
      <c r="R893" s="7"/>
      <c r="S893" s="7"/>
      <c r="T893" s="7"/>
      <c r="U893" s="7"/>
      <c r="V893" s="7"/>
      <c r="W893" s="7"/>
      <c r="X893" s="7"/>
      <c r="Y893" s="7"/>
      <c r="AD893" s="7"/>
      <c r="AE893" s="132"/>
      <c r="AF893" s="132"/>
    </row>
    <row r="894" spans="2:32">
      <c r="B894" s="7"/>
      <c r="C894" s="7"/>
      <c r="D894" s="7"/>
      <c r="E894" s="7"/>
      <c r="F894" s="7"/>
      <c r="G894" s="7"/>
      <c r="H894" s="7"/>
      <c r="I894" s="7"/>
      <c r="J894" s="7"/>
      <c r="K894" s="7"/>
      <c r="L894" s="7"/>
      <c r="M894" s="7"/>
      <c r="N894" s="7"/>
      <c r="O894" s="7"/>
      <c r="P894" s="7"/>
      <c r="Q894" s="7"/>
      <c r="R894" s="7"/>
      <c r="S894" s="7"/>
      <c r="T894" s="7"/>
      <c r="U894" s="7"/>
      <c r="V894" s="7"/>
      <c r="W894" s="7"/>
      <c r="X894" s="7"/>
      <c r="Y894" s="7"/>
      <c r="AD894" s="7"/>
      <c r="AE894" s="132"/>
      <c r="AF894" s="132"/>
    </row>
    <row r="895" spans="2:32">
      <c r="B895" s="7"/>
      <c r="C895" s="7"/>
      <c r="D895" s="7"/>
      <c r="E895" s="7"/>
      <c r="F895" s="7"/>
      <c r="G895" s="7"/>
      <c r="H895" s="7"/>
      <c r="I895" s="7"/>
      <c r="J895" s="7"/>
      <c r="K895" s="7"/>
      <c r="L895" s="7"/>
      <c r="M895" s="7"/>
      <c r="N895" s="7"/>
      <c r="O895" s="7"/>
      <c r="P895" s="7"/>
      <c r="Q895" s="7"/>
      <c r="R895" s="7"/>
      <c r="S895" s="7"/>
      <c r="T895" s="7"/>
      <c r="U895" s="7"/>
      <c r="V895" s="7"/>
      <c r="W895" s="7"/>
      <c r="X895" s="7"/>
      <c r="Y895" s="7"/>
      <c r="AD895" s="7"/>
      <c r="AE895" s="132"/>
      <c r="AF895" s="132"/>
    </row>
    <row r="896" spans="2:32">
      <c r="AD896" s="7"/>
      <c r="AE896" s="132"/>
      <c r="AF896" s="132"/>
    </row>
    <row r="897" spans="30:32">
      <c r="AD897" s="7"/>
      <c r="AE897" s="132"/>
      <c r="AF897" s="132"/>
    </row>
    <row r="898" spans="30:32">
      <c r="AD898" s="7"/>
      <c r="AE898" s="132"/>
      <c r="AF898" s="132"/>
    </row>
    <row r="899" spans="30:32">
      <c r="AD899" s="7"/>
      <c r="AE899" s="132"/>
      <c r="AF899" s="132"/>
    </row>
    <row r="900" spans="30:32">
      <c r="AD900" s="7"/>
      <c r="AE900" s="132"/>
      <c r="AF900" s="132"/>
    </row>
    <row r="901" spans="30:32">
      <c r="AD901" s="7"/>
      <c r="AE901" s="132"/>
      <c r="AF901" s="132"/>
    </row>
    <row r="902" spans="30:32">
      <c r="AD902" s="7"/>
      <c r="AE902" s="132"/>
      <c r="AF902" s="132"/>
    </row>
    <row r="903" spans="30:32">
      <c r="AD903" s="7"/>
      <c r="AE903" s="132"/>
      <c r="AF903" s="132"/>
    </row>
    <row r="904" spans="30:32">
      <c r="AD904" s="7"/>
      <c r="AE904" s="132"/>
      <c r="AF904" s="132"/>
    </row>
    <row r="905" spans="30:32">
      <c r="AD905" s="7"/>
      <c r="AE905" s="132"/>
      <c r="AF905" s="132"/>
    </row>
    <row r="906" spans="30:32">
      <c r="AD906" s="7"/>
      <c r="AE906" s="132"/>
      <c r="AF906" s="132"/>
    </row>
    <row r="907" spans="30:32">
      <c r="AD907" s="7"/>
      <c r="AE907" s="132"/>
      <c r="AF907" s="132"/>
    </row>
    <row r="908" spans="30:32">
      <c r="AD908" s="7"/>
    </row>
  </sheetData>
  <sheetProtection password="83FE" sheet="1" objects="1" scenarios="1" selectLockedCells="1"/>
  <sortState ref="AD197:BN250">
    <sortCondition ref="AD197:AD250"/>
  </sortState>
  <mergeCells count="325">
    <mergeCell ref="R116:S116"/>
    <mergeCell ref="R46:S46"/>
    <mergeCell ref="R47:S47"/>
    <mergeCell ref="D15:E15"/>
    <mergeCell ref="B19:C20"/>
    <mergeCell ref="AD17:AE19"/>
    <mergeCell ref="X119:Y119"/>
    <mergeCell ref="U119:V119"/>
    <mergeCell ref="R119:S119"/>
    <mergeCell ref="X118:Y118"/>
    <mergeCell ref="U118:V118"/>
    <mergeCell ref="R118:S118"/>
    <mergeCell ref="F119:G119"/>
    <mergeCell ref="F89:G89"/>
    <mergeCell ref="W29:X31"/>
    <mergeCell ref="X115:Y115"/>
    <mergeCell ref="U115:V115"/>
    <mergeCell ref="R115:S115"/>
    <mergeCell ref="X114:Y114"/>
    <mergeCell ref="U114:V114"/>
    <mergeCell ref="R114:S114"/>
    <mergeCell ref="X117:Y117"/>
    <mergeCell ref="U117:V117"/>
    <mergeCell ref="U22:W22"/>
    <mergeCell ref="R117:S117"/>
    <mergeCell ref="X116:Y116"/>
    <mergeCell ref="U116:V116"/>
    <mergeCell ref="H19:I19"/>
    <mergeCell ref="J19:K19"/>
    <mergeCell ref="L19:M19"/>
    <mergeCell ref="R48:S48"/>
    <mergeCell ref="R45:S45"/>
    <mergeCell ref="X38:Y38"/>
    <mergeCell ref="X39:Y39"/>
    <mergeCell ref="X40:Y40"/>
    <mergeCell ref="R35:S35"/>
    <mergeCell ref="U35:V35"/>
    <mergeCell ref="X36:Y36"/>
    <mergeCell ref="X37:Y37"/>
    <mergeCell ref="X41:Y41"/>
    <mergeCell ref="X42:Y42"/>
    <mergeCell ref="X43:Y43"/>
    <mergeCell ref="X44:Y44"/>
    <mergeCell ref="X45:Y45"/>
    <mergeCell ref="X46:Y46"/>
    <mergeCell ref="U41:V41"/>
    <mergeCell ref="U23:W23"/>
    <mergeCell ref="R22:S23"/>
    <mergeCell ref="B1:N3"/>
    <mergeCell ref="AB20:AC20"/>
    <mergeCell ref="B12:C12"/>
    <mergeCell ref="F12:G12"/>
    <mergeCell ref="F13:G13"/>
    <mergeCell ref="F14:G14"/>
    <mergeCell ref="D12:E12"/>
    <mergeCell ref="D13:E13"/>
    <mergeCell ref="D14:E14"/>
    <mergeCell ref="B13:C13"/>
    <mergeCell ref="B14:C14"/>
    <mergeCell ref="B15:C15"/>
    <mergeCell ref="B16:C16"/>
    <mergeCell ref="N19:O19"/>
    <mergeCell ref="T13:W13"/>
    <mergeCell ref="U14:W14"/>
    <mergeCell ref="U15:W15"/>
    <mergeCell ref="R14:S15"/>
    <mergeCell ref="U17:W17"/>
    <mergeCell ref="U18:W18"/>
    <mergeCell ref="U19:W19"/>
    <mergeCell ref="U20:W20"/>
    <mergeCell ref="R20:S21"/>
    <mergeCell ref="R18:S19"/>
    <mergeCell ref="B24:C24"/>
    <mergeCell ref="D16:E16"/>
    <mergeCell ref="D20:G20"/>
    <mergeCell ref="B28:J28"/>
    <mergeCell ref="H31:J31"/>
    <mergeCell ref="R30:S30"/>
    <mergeCell ref="J20:K20"/>
    <mergeCell ref="J21:K21"/>
    <mergeCell ref="J22:K22"/>
    <mergeCell ref="J23:K23"/>
    <mergeCell ref="J24:K24"/>
    <mergeCell ref="L20:M20"/>
    <mergeCell ref="L21:M21"/>
    <mergeCell ref="L22:M22"/>
    <mergeCell ref="L24:M24"/>
    <mergeCell ref="B21:C21"/>
    <mergeCell ref="B22:C22"/>
    <mergeCell ref="F16:G16"/>
    <mergeCell ref="L23:M23"/>
    <mergeCell ref="D19:G19"/>
    <mergeCell ref="D21:G21"/>
    <mergeCell ref="B23:C23"/>
    <mergeCell ref="D23:G23"/>
    <mergeCell ref="D24:G24"/>
    <mergeCell ref="N20:O20"/>
    <mergeCell ref="N21:O21"/>
    <mergeCell ref="N24:O24"/>
    <mergeCell ref="N22:O22"/>
    <mergeCell ref="N23:O23"/>
    <mergeCell ref="F15:G15"/>
    <mergeCell ref="U42:V42"/>
    <mergeCell ref="U43:V43"/>
    <mergeCell ref="D22:G22"/>
    <mergeCell ref="U21:W21"/>
    <mergeCell ref="U44:V44"/>
    <mergeCell ref="U45:V45"/>
    <mergeCell ref="U46:V46"/>
    <mergeCell ref="X53:Y53"/>
    <mergeCell ref="X54:Y54"/>
    <mergeCell ref="X55:Y55"/>
    <mergeCell ref="X56:Y56"/>
    <mergeCell ref="U47:V47"/>
    <mergeCell ref="U48:V48"/>
    <mergeCell ref="U49:V49"/>
    <mergeCell ref="U50:V50"/>
    <mergeCell ref="U51:V51"/>
    <mergeCell ref="U52:V52"/>
    <mergeCell ref="X57:Y57"/>
    <mergeCell ref="X58:Y58"/>
    <mergeCell ref="X47:Y47"/>
    <mergeCell ref="X48:Y48"/>
    <mergeCell ref="X49:Y49"/>
    <mergeCell ref="X50:Y50"/>
    <mergeCell ref="X51:Y51"/>
    <mergeCell ref="X52:Y52"/>
    <mergeCell ref="X66:Y66"/>
    <mergeCell ref="X67:Y67"/>
    <mergeCell ref="X68:Y68"/>
    <mergeCell ref="X69:Y69"/>
    <mergeCell ref="X70:Y70"/>
    <mergeCell ref="X59:Y59"/>
    <mergeCell ref="X60:Y60"/>
    <mergeCell ref="X61:Y61"/>
    <mergeCell ref="X62:Y62"/>
    <mergeCell ref="X63:Y63"/>
    <mergeCell ref="X64:Y64"/>
    <mergeCell ref="X89:Y89"/>
    <mergeCell ref="X83:Y83"/>
    <mergeCell ref="X84:Y84"/>
    <mergeCell ref="X85:Y85"/>
    <mergeCell ref="X86:Y86"/>
    <mergeCell ref="X87:Y87"/>
    <mergeCell ref="X88:Y88"/>
    <mergeCell ref="X77:Y77"/>
    <mergeCell ref="X78:Y78"/>
    <mergeCell ref="X79:Y79"/>
    <mergeCell ref="X80:Y80"/>
    <mergeCell ref="X81:Y81"/>
    <mergeCell ref="X82:Y82"/>
    <mergeCell ref="X71:Y71"/>
    <mergeCell ref="X72:Y72"/>
    <mergeCell ref="X73:Y73"/>
    <mergeCell ref="X74:Y74"/>
    <mergeCell ref="X75:Y75"/>
    <mergeCell ref="X76:Y76"/>
    <mergeCell ref="X65:Y65"/>
    <mergeCell ref="R36:S36"/>
    <mergeCell ref="R37:S37"/>
    <mergeCell ref="R38:S38"/>
    <mergeCell ref="R39:S39"/>
    <mergeCell ref="R40:S40"/>
    <mergeCell ref="R41:S41"/>
    <mergeCell ref="R42:S42"/>
    <mergeCell ref="R43:S43"/>
    <mergeCell ref="R44:S44"/>
    <mergeCell ref="U36:V36"/>
    <mergeCell ref="U37:V37"/>
    <mergeCell ref="U38:V38"/>
    <mergeCell ref="U39:V39"/>
    <mergeCell ref="U40:V40"/>
    <mergeCell ref="R69:S69"/>
    <mergeCell ref="R70:S70"/>
    <mergeCell ref="R63:S63"/>
    <mergeCell ref="R86:S86"/>
    <mergeCell ref="R87:S87"/>
    <mergeCell ref="R75:S75"/>
    <mergeCell ref="R77:S77"/>
    <mergeCell ref="R78:S78"/>
    <mergeCell ref="R79:S79"/>
    <mergeCell ref="R80:S80"/>
    <mergeCell ref="R81:S81"/>
    <mergeCell ref="R88:S88"/>
    <mergeCell ref="R76:S76"/>
    <mergeCell ref="U79:V79"/>
    <mergeCell ref="U54:V54"/>
    <mergeCell ref="U55:V55"/>
    <mergeCell ref="U56:V56"/>
    <mergeCell ref="U80:V80"/>
    <mergeCell ref="U71:V71"/>
    <mergeCell ref="U72:V72"/>
    <mergeCell ref="R49:S49"/>
    <mergeCell ref="R64:S64"/>
    <mergeCell ref="R65:S65"/>
    <mergeCell ref="R57:S57"/>
    <mergeCell ref="R58:S58"/>
    <mergeCell ref="R59:S59"/>
    <mergeCell ref="R60:S60"/>
    <mergeCell ref="R61:S61"/>
    <mergeCell ref="R62:S62"/>
    <mergeCell ref="R55:S55"/>
    <mergeCell ref="R54:S54"/>
    <mergeCell ref="R56:S56"/>
    <mergeCell ref="R50:S50"/>
    <mergeCell ref="R51:S51"/>
    <mergeCell ref="R52:S52"/>
    <mergeCell ref="R53:S53"/>
    <mergeCell ref="U85:V85"/>
    <mergeCell ref="U86:V86"/>
    <mergeCell ref="U81:V81"/>
    <mergeCell ref="U82:V82"/>
    <mergeCell ref="U58:V58"/>
    <mergeCell ref="R90:S90"/>
    <mergeCell ref="U90:V90"/>
    <mergeCell ref="U57:V57"/>
    <mergeCell ref="U53:V53"/>
    <mergeCell ref="U89:V89"/>
    <mergeCell ref="U73:V73"/>
    <mergeCell ref="U74:V74"/>
    <mergeCell ref="U75:V75"/>
    <mergeCell ref="U76:V76"/>
    <mergeCell ref="U77:V77"/>
    <mergeCell ref="U78:V78"/>
    <mergeCell ref="U65:V65"/>
    <mergeCell ref="U66:V66"/>
    <mergeCell ref="U67:V67"/>
    <mergeCell ref="U68:V68"/>
    <mergeCell ref="U69:V69"/>
    <mergeCell ref="U70:V70"/>
    <mergeCell ref="U83:V83"/>
    <mergeCell ref="U84:V84"/>
    <mergeCell ref="X90:Y90"/>
    <mergeCell ref="R91:S91"/>
    <mergeCell ref="U91:V91"/>
    <mergeCell ref="X91:Y91"/>
    <mergeCell ref="U59:V59"/>
    <mergeCell ref="U60:V60"/>
    <mergeCell ref="U61:V61"/>
    <mergeCell ref="U62:V62"/>
    <mergeCell ref="U63:V63"/>
    <mergeCell ref="U64:V64"/>
    <mergeCell ref="R71:S71"/>
    <mergeCell ref="R72:S72"/>
    <mergeCell ref="R73:S73"/>
    <mergeCell ref="R74:S74"/>
    <mergeCell ref="R66:S66"/>
    <mergeCell ref="R67:S67"/>
    <mergeCell ref="R68:S68"/>
    <mergeCell ref="R89:S89"/>
    <mergeCell ref="R82:S82"/>
    <mergeCell ref="R83:S83"/>
    <mergeCell ref="R84:S84"/>
    <mergeCell ref="R85:S85"/>
    <mergeCell ref="U87:V87"/>
    <mergeCell ref="U88:V88"/>
    <mergeCell ref="R94:S94"/>
    <mergeCell ref="U94:V94"/>
    <mergeCell ref="X94:Y94"/>
    <mergeCell ref="R95:S95"/>
    <mergeCell ref="U95:V95"/>
    <mergeCell ref="X95:Y95"/>
    <mergeCell ref="R92:S92"/>
    <mergeCell ref="U92:V92"/>
    <mergeCell ref="X92:Y92"/>
    <mergeCell ref="R93:S93"/>
    <mergeCell ref="U93:V93"/>
    <mergeCell ref="X93:Y93"/>
    <mergeCell ref="R98:S98"/>
    <mergeCell ref="U98:V98"/>
    <mergeCell ref="X98:Y98"/>
    <mergeCell ref="R99:S99"/>
    <mergeCell ref="U99:V99"/>
    <mergeCell ref="X99:Y99"/>
    <mergeCell ref="R96:S96"/>
    <mergeCell ref="U96:V96"/>
    <mergeCell ref="X96:Y96"/>
    <mergeCell ref="R97:S97"/>
    <mergeCell ref="U97:V97"/>
    <mergeCell ref="X97:Y97"/>
    <mergeCell ref="R103:S103"/>
    <mergeCell ref="U103:V103"/>
    <mergeCell ref="X103:Y103"/>
    <mergeCell ref="R100:S100"/>
    <mergeCell ref="U100:V100"/>
    <mergeCell ref="X100:Y100"/>
    <mergeCell ref="R101:S101"/>
    <mergeCell ref="U101:V101"/>
    <mergeCell ref="X101:Y101"/>
    <mergeCell ref="U112:V112"/>
    <mergeCell ref="X112:Y112"/>
    <mergeCell ref="R113:S113"/>
    <mergeCell ref="U113:V113"/>
    <mergeCell ref="X113:Y113"/>
    <mergeCell ref="R110:S110"/>
    <mergeCell ref="U110:V110"/>
    <mergeCell ref="X110:Y110"/>
    <mergeCell ref="R111:S111"/>
    <mergeCell ref="U111:V111"/>
    <mergeCell ref="X111:Y111"/>
    <mergeCell ref="R112:S112"/>
    <mergeCell ref="BW110:BX110"/>
    <mergeCell ref="AB17:AC19"/>
    <mergeCell ref="B31:E31"/>
    <mergeCell ref="R108:S108"/>
    <mergeCell ref="U108:V108"/>
    <mergeCell ref="X108:Y108"/>
    <mergeCell ref="R109:S109"/>
    <mergeCell ref="U109:V109"/>
    <mergeCell ref="X109:Y109"/>
    <mergeCell ref="R106:S106"/>
    <mergeCell ref="U106:V106"/>
    <mergeCell ref="X106:Y106"/>
    <mergeCell ref="R107:S107"/>
    <mergeCell ref="U107:V107"/>
    <mergeCell ref="X107:Y107"/>
    <mergeCell ref="R104:S104"/>
    <mergeCell ref="U104:V104"/>
    <mergeCell ref="X104:Y104"/>
    <mergeCell ref="R105:S105"/>
    <mergeCell ref="U105:V105"/>
    <mergeCell ref="X105:Y105"/>
    <mergeCell ref="R102:S102"/>
    <mergeCell ref="U102:V102"/>
    <mergeCell ref="X102:Y102"/>
  </mergeCells>
  <phoneticPr fontId="0" type="noConversion"/>
  <conditionalFormatting sqref="G90">
    <cfRule type="cellIs" dxfId="49" priority="69" stopIfTrue="1" operator="equal">
      <formula>"FAIL"</formula>
    </cfRule>
    <cfRule type="cellIs" dxfId="48" priority="70" stopIfTrue="1" operator="equal">
      <formula>"PASS"</formula>
    </cfRule>
  </conditionalFormatting>
  <conditionalFormatting sqref="AE14:AF14 AD17 AA17:AA23 Z13:AA15 Z17:Z19 Z21:Z23">
    <cfRule type="containsText" dxfId="47" priority="59" stopIfTrue="1" operator="containsText" text="O">
      <formula>NOT(ISERROR(SEARCH("O",Z13)))</formula>
    </cfRule>
    <cfRule type="containsText" dxfId="46" priority="60" stopIfTrue="1" operator="containsText" text="P">
      <formula>NOT(ISERROR(SEARCH("P",Z13)))</formula>
    </cfRule>
  </conditionalFormatting>
  <conditionalFormatting sqref="K14">
    <cfRule type="expression" dxfId="45" priority="571" stopIfTrue="1">
      <formula>$K$14&gt;#REF!</formula>
    </cfRule>
    <cfRule type="expression" dxfId="44" priority="572" stopIfTrue="1">
      <formula>$K$14=#REF!</formula>
    </cfRule>
  </conditionalFormatting>
  <conditionalFormatting sqref="J14">
    <cfRule type="expression" dxfId="43" priority="573" stopIfTrue="1">
      <formula>$J$14&gt;#REF!</formula>
    </cfRule>
    <cfRule type="expression" dxfId="42" priority="574" stopIfTrue="1">
      <formula>$J$14=#REF!</formula>
    </cfRule>
  </conditionalFormatting>
  <conditionalFormatting sqref="I14">
    <cfRule type="expression" dxfId="41" priority="575" stopIfTrue="1">
      <formula>$I$14&gt;#REF!</formula>
    </cfRule>
    <cfRule type="expression" dxfId="40" priority="576" stopIfTrue="1">
      <formula>$I$14=#REF!</formula>
    </cfRule>
  </conditionalFormatting>
  <conditionalFormatting sqref="Z20">
    <cfRule type="containsText" dxfId="39" priority="1" stopIfTrue="1" operator="containsText" text="O">
      <formula>NOT(ISERROR(SEARCH("O",Z20)))</formula>
    </cfRule>
    <cfRule type="containsText" dxfId="38" priority="2" stopIfTrue="1" operator="containsText" text="P">
      <formula>NOT(ISERROR(SEARCH("P",Z20)))</formula>
    </cfRule>
  </conditionalFormatting>
  <conditionalFormatting sqref="L13">
    <cfRule type="expression" dxfId="37" priority="687" stopIfTrue="1">
      <formula>$L$13&gt;$X$14</formula>
    </cfRule>
    <cfRule type="expression" dxfId="36" priority="688" stopIfTrue="1">
      <formula>$L$13=$X$14</formula>
    </cfRule>
  </conditionalFormatting>
  <conditionalFormatting sqref="F13:G13">
    <cfRule type="expression" dxfId="35" priority="689" stopIfTrue="1">
      <formula>$F$13&gt;$X$14</formula>
    </cfRule>
    <cfRule type="expression" dxfId="34" priority="690" stopIfTrue="1">
      <formula>$F$13=$X$14</formula>
    </cfRule>
  </conditionalFormatting>
  <conditionalFormatting sqref="F14:G14">
    <cfRule type="expression" dxfId="33" priority="691" stopIfTrue="1">
      <formula>$F$14&gt;$X$15</formula>
    </cfRule>
    <cfRule type="expression" dxfId="32" priority="692" stopIfTrue="1">
      <formula>$F$14=$X$15</formula>
    </cfRule>
  </conditionalFormatting>
  <conditionalFormatting sqref="H13">
    <cfRule type="expression" dxfId="31" priority="693" stopIfTrue="1">
      <formula>$H$13&gt;$X$14</formula>
    </cfRule>
    <cfRule type="expression" dxfId="30" priority="694" stopIfTrue="1">
      <formula>$H$13=$X$14</formula>
    </cfRule>
  </conditionalFormatting>
  <conditionalFormatting sqref="H14">
    <cfRule type="expression" dxfId="29" priority="695" stopIfTrue="1">
      <formula>$H$14&gt;$X$15</formula>
    </cfRule>
    <cfRule type="expression" dxfId="28" priority="696" stopIfTrue="1">
      <formula>$H$14=$X$15</formula>
    </cfRule>
  </conditionalFormatting>
  <conditionalFormatting sqref="D13">
    <cfRule type="expression" dxfId="27" priority="697" stopIfTrue="1">
      <formula>$D$13=$X$14</formula>
    </cfRule>
    <cfRule type="expression" dxfId="26" priority="698" stopIfTrue="1">
      <formula>$D$13&gt;$X$14</formula>
    </cfRule>
  </conditionalFormatting>
  <conditionalFormatting sqref="D14:E14">
    <cfRule type="expression" dxfId="25" priority="699" stopIfTrue="1">
      <formula>$D$14=$X$15</formula>
    </cfRule>
    <cfRule type="expression" dxfId="24" priority="700" stopIfTrue="1">
      <formula>$D$14&gt;$X$15</formula>
    </cfRule>
  </conditionalFormatting>
  <conditionalFormatting sqref="K13">
    <cfRule type="expression" dxfId="23" priority="749" stopIfTrue="1">
      <formula>$K$13&gt;$X$17</formula>
    </cfRule>
    <cfRule type="expression" dxfId="22" priority="750" stopIfTrue="1">
      <formula>$K$13=$X$17</formula>
    </cfRule>
  </conditionalFormatting>
  <conditionalFormatting sqref="J13">
    <cfRule type="expression" dxfId="21" priority="751" stopIfTrue="1">
      <formula>$J$13&gt;$X$17</formula>
    </cfRule>
    <cfRule type="expression" dxfId="20" priority="752" stopIfTrue="1">
      <formula>$J$13=$X$17</formula>
    </cfRule>
  </conditionalFormatting>
  <conditionalFormatting sqref="I13">
    <cfRule type="expression" dxfId="19" priority="753" stopIfTrue="1">
      <formula>$I$13&gt;$X$17</formula>
    </cfRule>
    <cfRule type="expression" dxfId="18" priority="754" stopIfTrue="1">
      <formula>$I$13=$X$17</formula>
    </cfRule>
  </conditionalFormatting>
  <conditionalFormatting sqref="O13">
    <cfRule type="expression" dxfId="17" priority="755" stopIfTrue="1">
      <formula>$O$13&gt;$X$18</formula>
    </cfRule>
    <cfRule type="expression" dxfId="16" priority="756" stopIfTrue="1">
      <formula>$O$13=$X$18</formula>
    </cfRule>
  </conditionalFormatting>
  <conditionalFormatting sqref="O15">
    <cfRule type="expression" dxfId="15" priority="757" stopIfTrue="1">
      <formula>$O$15&gt;$X$19</formula>
    </cfRule>
    <cfRule type="expression" dxfId="14" priority="758" stopIfTrue="1">
      <formula>$O$15=$X$19</formula>
    </cfRule>
  </conditionalFormatting>
  <conditionalFormatting sqref="N13">
    <cfRule type="expression" dxfId="13" priority="759" stopIfTrue="1">
      <formula>$N$13&gt;$X$18</formula>
    </cfRule>
    <cfRule type="expression" dxfId="12" priority="760" stopIfTrue="1">
      <formula>$N$13=$X$18</formula>
    </cfRule>
  </conditionalFormatting>
  <conditionalFormatting sqref="N15">
    <cfRule type="expression" dxfId="11" priority="761" stopIfTrue="1">
      <formula>$N$15&gt;$X$19</formula>
    </cfRule>
    <cfRule type="expression" dxfId="10" priority="762" stopIfTrue="1">
      <formula>$N$15=$X$19</formula>
    </cfRule>
  </conditionalFormatting>
  <conditionalFormatting sqref="M13">
    <cfRule type="expression" dxfId="9" priority="763" stopIfTrue="1">
      <formula>$M$13&gt;$X$18</formula>
    </cfRule>
    <cfRule type="expression" dxfId="8" priority="764" stopIfTrue="1">
      <formula>$M$13=$X$18</formula>
    </cfRule>
  </conditionalFormatting>
  <conditionalFormatting sqref="M15">
    <cfRule type="expression" dxfId="7" priority="765" stopIfTrue="1">
      <formula>$M$15&gt;$X$19</formula>
    </cfRule>
    <cfRule type="expression" dxfId="6" priority="766" stopIfTrue="1">
      <formula>$M$15=$X$19</formula>
    </cfRule>
  </conditionalFormatting>
  <conditionalFormatting sqref="O16">
    <cfRule type="expression" dxfId="5" priority="767" stopIfTrue="1">
      <formula>$O$16&gt;$X$21</formula>
    </cfRule>
    <cfRule type="expression" dxfId="4" priority="768" stopIfTrue="1">
      <formula>$O$16=$X$21</formula>
    </cfRule>
  </conditionalFormatting>
  <conditionalFormatting sqref="N16">
    <cfRule type="expression" dxfId="3" priority="769" stopIfTrue="1">
      <formula>$N$16&gt;$X$21</formula>
    </cfRule>
    <cfRule type="expression" dxfId="2" priority="770" stopIfTrue="1">
      <formula>$N$16=$X$21</formula>
    </cfRule>
  </conditionalFormatting>
  <conditionalFormatting sqref="M16">
    <cfRule type="expression" dxfId="1" priority="771" stopIfTrue="1">
      <formula>$M$16&gt;$X$21</formula>
    </cfRule>
    <cfRule type="expression" dxfId="0" priority="772" stopIfTrue="1">
      <formula>$M$16=$X$21</formula>
    </cfRule>
  </conditionalFormatting>
  <dataValidations count="6">
    <dataValidation allowBlank="1" showInputMessage="1" showErrorMessage="1" sqref="W37:W89"/>
    <dataValidation type="list" showErrorMessage="1" sqref="B28">
      <formula1>$AG$2:$AG$9</formula1>
    </dataValidation>
    <dataValidation type="list" allowBlank="1" showInputMessage="1" showErrorMessage="1" sqref="BW110:BX110">
      <formula1>$BW$129:$BW$130</formula1>
    </dataValidation>
    <dataValidation type="list" allowBlank="1" showInputMessage="1" showErrorMessage="1" sqref="H31 K31:K32 G32:J32">
      <formula1>$AK$2:$AK$5</formula1>
    </dataValidation>
    <dataValidation type="list" allowBlank="1" showInputMessage="1" showErrorMessage="1" sqref="B31:B32">
      <formula1>$AI$2:$AI$3</formula1>
    </dataValidation>
    <dataValidation type="list" allowBlank="1" showInputMessage="1" showErrorMessage="1" sqref="Y35">
      <formula1>$AM$5:$AM$6</formula1>
    </dataValidation>
  </dataValidations>
  <printOptions horizontalCentered="1" verticalCentered="1"/>
  <pageMargins left="0.125" right="0.125" top="0" bottom="0" header="0" footer="0"/>
  <pageSetup paperSize="169" orientation="landscape" horizontalDpi="1200" verticalDpi="120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dimension ref="B9:M49"/>
  <sheetViews>
    <sheetView showGridLines="0" showRowColHeaders="0" zoomScale="125" workbookViewId="0"/>
  </sheetViews>
  <sheetFormatPr baseColWidth="10" defaultColWidth="8.83203125" defaultRowHeight="12" x14ac:dyDescent="0"/>
  <cols>
    <col min="1" max="1" width="2.6640625" customWidth="1"/>
  </cols>
  <sheetData>
    <row r="9" spans="2:13" ht="17">
      <c r="B9" s="2" t="s">
        <v>222</v>
      </c>
      <c r="L9" s="2"/>
    </row>
    <row r="11" spans="2:13">
      <c r="B11" s="3" t="s">
        <v>18</v>
      </c>
      <c r="L11" s="3"/>
    </row>
    <row r="12" spans="2:13">
      <c r="C12" s="4" t="s">
        <v>223</v>
      </c>
      <c r="M12" s="5"/>
    </row>
    <row r="13" spans="2:13">
      <c r="C13" s="105" t="s">
        <v>224</v>
      </c>
      <c r="M13" s="5"/>
    </row>
    <row r="14" spans="2:13">
      <c r="C14" s="105" t="s">
        <v>225</v>
      </c>
      <c r="M14" s="5"/>
    </row>
    <row r="15" spans="2:13">
      <c r="C15" s="4" t="s">
        <v>269</v>
      </c>
      <c r="M15" s="1"/>
    </row>
    <row r="16" spans="2:13">
      <c r="C16" s="4" t="s">
        <v>226</v>
      </c>
      <c r="M16" s="1"/>
    </row>
    <row r="17" spans="2:13">
      <c r="C17" s="4" t="s">
        <v>270</v>
      </c>
    </row>
    <row r="18" spans="2:13">
      <c r="L18" s="3"/>
    </row>
    <row r="19" spans="2:13">
      <c r="B19" s="3" t="s">
        <v>19</v>
      </c>
      <c r="C19" t="s">
        <v>227</v>
      </c>
      <c r="M19" s="1"/>
    </row>
    <row r="20" spans="2:13">
      <c r="C20" s="105" t="s">
        <v>225</v>
      </c>
      <c r="M20" s="1"/>
    </row>
    <row r="21" spans="2:13">
      <c r="C21" s="79" t="s">
        <v>228</v>
      </c>
      <c r="M21" s="1"/>
    </row>
    <row r="22" spans="2:13">
      <c r="C22" t="s">
        <v>229</v>
      </c>
      <c r="M22" s="1"/>
    </row>
    <row r="23" spans="2:13">
      <c r="C23" t="s">
        <v>230</v>
      </c>
      <c r="M23" s="1"/>
    </row>
    <row r="24" spans="2:13">
      <c r="C24" t="s">
        <v>231</v>
      </c>
      <c r="M24" s="1"/>
    </row>
    <row r="25" spans="2:13">
      <c r="C25" s="79" t="s">
        <v>232</v>
      </c>
      <c r="M25" s="1"/>
    </row>
    <row r="26" spans="2:13">
      <c r="C26" s="79" t="s">
        <v>233</v>
      </c>
    </row>
    <row r="27" spans="2:13">
      <c r="C27" t="s">
        <v>234</v>
      </c>
      <c r="L27" s="3"/>
    </row>
    <row r="28" spans="2:13">
      <c r="M28" s="1"/>
    </row>
    <row r="29" spans="2:13">
      <c r="M29" s="1"/>
    </row>
    <row r="30" spans="2:13">
      <c r="B30" s="3" t="s">
        <v>20</v>
      </c>
      <c r="C30" s="1" t="s">
        <v>24</v>
      </c>
      <c r="M30" s="1"/>
    </row>
    <row r="31" spans="2:13">
      <c r="C31" t="s">
        <v>235</v>
      </c>
      <c r="M31" s="1"/>
    </row>
    <row r="32" spans="2:13">
      <c r="C32" s="79" t="s">
        <v>236</v>
      </c>
      <c r="M32" s="1"/>
    </row>
    <row r="33" spans="2:13">
      <c r="C33" s="79" t="s">
        <v>237</v>
      </c>
      <c r="M33" s="1"/>
    </row>
    <row r="34" spans="2:13">
      <c r="C34" t="s">
        <v>239</v>
      </c>
      <c r="M34" s="1"/>
    </row>
    <row r="35" spans="2:13">
      <c r="C35" s="79" t="s">
        <v>22</v>
      </c>
    </row>
    <row r="36" spans="2:13">
      <c r="C36" s="79" t="s">
        <v>238</v>
      </c>
      <c r="L36" s="3"/>
    </row>
    <row r="37" spans="2:13">
      <c r="L37" s="3"/>
      <c r="M37" s="1"/>
    </row>
    <row r="38" spans="2:13">
      <c r="M38" s="79"/>
    </row>
    <row r="39" spans="2:13">
      <c r="B39" s="3" t="s">
        <v>33</v>
      </c>
      <c r="C39" t="s">
        <v>240</v>
      </c>
      <c r="M39" s="1"/>
    </row>
    <row r="40" spans="2:13">
      <c r="C40" s="79" t="s">
        <v>34</v>
      </c>
      <c r="M40" s="1"/>
    </row>
    <row r="41" spans="2:13">
      <c r="B41" s="3"/>
      <c r="C41" s="79" t="s">
        <v>131</v>
      </c>
      <c r="M41" s="1"/>
    </row>
    <row r="42" spans="2:13">
      <c r="C42" s="1" t="s">
        <v>35</v>
      </c>
      <c r="M42" s="1"/>
    </row>
    <row r="43" spans="2:13">
      <c r="C43" s="1" t="s">
        <v>36</v>
      </c>
    </row>
    <row r="44" spans="2:13">
      <c r="C44" s="79" t="s">
        <v>37</v>
      </c>
    </row>
    <row r="45" spans="2:13">
      <c r="C45" s="79" t="s">
        <v>38</v>
      </c>
    </row>
    <row r="48" spans="2:13">
      <c r="B48" s="79" t="s">
        <v>132</v>
      </c>
    </row>
    <row r="49" spans="2:2">
      <c r="B49" t="s">
        <v>133</v>
      </c>
    </row>
  </sheetData>
  <sheetProtection password="83FE" sheet="1" objects="1" scenarios="1" selectLockedCells="1" selectUnlockedCells="1"/>
  <phoneticPr fontId="7" type="noConversion"/>
  <pageMargins left="0.7" right="0.7" top="0.75" bottom="0.75" header="0.3" footer="0.3"/>
  <pageSetup orientation="portrait" verticalDpi="0"/>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Pass-Fail</vt:lpstr>
      <vt:lpstr>Instructions</vt:lpstr>
    </vt:vector>
  </TitlesOfParts>
  <Company>The Proofing Group</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Contract Proof Verification Worksheet</dc:title>
  <dc:creator>M. Strickler, G. Andrews, B. Bayne</dc:creator>
  <cp:lastModifiedBy>Bruce Bayne</cp:lastModifiedBy>
  <cp:lastPrinted>2014-04-15T14:49:22Z</cp:lastPrinted>
  <dcterms:created xsi:type="dcterms:W3CDTF">2002-12-06T14:49:24Z</dcterms:created>
  <dcterms:modified xsi:type="dcterms:W3CDTF">2014-07-21T20:33:59Z</dcterms:modified>
</cp:coreProperties>
</file>